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nskeauto-my.sharepoint.com/personal/pgilbert_penskeautomotive_com/Documents/Documents/Reports/Quarterly Reports/Q4 2025/"/>
    </mc:Choice>
  </mc:AlternateContent>
  <xr:revisionPtr revIDLastSave="190" documentId="8_{02A681AE-C576-46B3-B4B3-FF13840F379E}" xr6:coauthVersionLast="47" xr6:coauthVersionMax="47" xr10:uidLastSave="{19EDC7D5-627B-4B1E-897B-C7574DA14509}"/>
  <bookViews>
    <workbookView xWindow="-120" yWindow="-120" windowWidth="29040" windowHeight="15720" xr2:uid="{361D9215-E789-0043-974C-F9074DD9838F}"/>
  </bookViews>
  <sheets>
    <sheet name="WEST" sheetId="15" r:id="rId1"/>
    <sheet name="By Market" sheetId="17" r:id="rId2"/>
    <sheet name="By Store" sheetId="1" r:id="rId3"/>
    <sheet name="WORKSHEET" sheetId="3" state="hidden" r:id="rId4"/>
    <sheet name="KEY" sheetId="2" state="hidden" r:id="rId5"/>
    <sheet name="FRCRNK_ALLSTAR" sheetId="20" state="hidden" r:id="rId6"/>
    <sheet name="CLIPBOARD" sheetId="19" state="hidden" r:id="rId7"/>
    <sheet name="SPRC_EXP" sheetId="21" state="hidden" r:id="rId8"/>
  </sheets>
  <definedNames>
    <definedName name="_xlnm._FilterDatabase" localSheetId="3" hidden="1">WORKSHEET!$A$2:$V$1328</definedName>
    <definedName name="_xlnm.Print_Area" localSheetId="1">'By Market'!$B$1:$K$47</definedName>
    <definedName name="_xlnm.Print_Area" localSheetId="2">'By Store'!$B$1:$G$12</definedName>
    <definedName name="_xlnm.Print_Area" localSheetId="0">WEST!$B$2:$K$28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7" i="3" l="1"/>
  <c r="F447" i="3"/>
  <c r="H447" i="3"/>
  <c r="I447" i="3"/>
  <c r="E448" i="3"/>
  <c r="F448" i="3"/>
  <c r="H448" i="3"/>
  <c r="I448" i="3"/>
  <c r="E449" i="3"/>
  <c r="F449" i="3"/>
  <c r="H449" i="3"/>
  <c r="I449" i="3"/>
  <c r="E450" i="3"/>
  <c r="F450" i="3"/>
  <c r="H450" i="3"/>
  <c r="I450" i="3"/>
  <c r="E451" i="3"/>
  <c r="F451" i="3"/>
  <c r="H451" i="3"/>
  <c r="I451" i="3"/>
  <c r="E452" i="3"/>
  <c r="F452" i="3"/>
  <c r="H452" i="3"/>
  <c r="I452" i="3"/>
  <c r="E453" i="3"/>
  <c r="F453" i="3"/>
  <c r="H453" i="3"/>
  <c r="I453" i="3"/>
  <c r="E454" i="3"/>
  <c r="F454" i="3"/>
  <c r="H454" i="3"/>
  <c r="I454" i="3"/>
  <c r="B40" i="2"/>
  <c r="B15" i="2"/>
  <c r="C15" i="2"/>
  <c r="A48" i="2"/>
  <c r="A49" i="2"/>
  <c r="A50" i="2"/>
  <c r="A51" i="2"/>
  <c r="A52" i="2"/>
  <c r="A53" i="2"/>
  <c r="A54" i="2"/>
  <c r="A55" i="2"/>
  <c r="A56" i="2"/>
  <c r="A57" i="2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14" i="2"/>
  <c r="A15" i="2"/>
  <c r="A16" i="2"/>
  <c r="A17" i="2"/>
  <c r="A18" i="2"/>
  <c r="A19" i="2"/>
  <c r="A20" i="2"/>
  <c r="A21" i="2"/>
  <c r="A22" i="2"/>
  <c r="A23" i="2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D167" i="15"/>
  <c r="I567" i="3"/>
  <c r="H567" i="3"/>
  <c r="G567" i="3"/>
  <c r="F567" i="3"/>
  <c r="E567" i="3"/>
  <c r="D567" i="3"/>
  <c r="I566" i="3"/>
  <c r="H566" i="3"/>
  <c r="G566" i="3"/>
  <c r="F566" i="3"/>
  <c r="E566" i="3"/>
  <c r="D566" i="3"/>
  <c r="I565" i="3"/>
  <c r="H565" i="3"/>
  <c r="G565" i="3"/>
  <c r="F565" i="3"/>
  <c r="E565" i="3"/>
  <c r="D565" i="3"/>
  <c r="I564" i="3"/>
  <c r="H564" i="3"/>
  <c r="G564" i="3"/>
  <c r="F564" i="3"/>
  <c r="E564" i="3"/>
  <c r="D564" i="3"/>
  <c r="I563" i="3"/>
  <c r="H563" i="3"/>
  <c r="F563" i="3"/>
  <c r="E563" i="3"/>
  <c r="D563" i="3"/>
  <c r="G563" i="3" s="1"/>
  <c r="I562" i="3"/>
  <c r="H562" i="3"/>
  <c r="F562" i="3"/>
  <c r="E562" i="3"/>
  <c r="D562" i="3"/>
  <c r="G562" i="3" s="1"/>
  <c r="I561" i="3"/>
  <c r="H561" i="3"/>
  <c r="F561" i="3"/>
  <c r="E561" i="3"/>
  <c r="D561" i="3"/>
  <c r="G561" i="3" s="1"/>
  <c r="I560" i="3"/>
  <c r="H560" i="3"/>
  <c r="G560" i="3"/>
  <c r="F560" i="3"/>
  <c r="E560" i="3"/>
  <c r="D560" i="3"/>
  <c r="I559" i="3"/>
  <c r="H559" i="3"/>
  <c r="F559" i="3"/>
  <c r="E559" i="3"/>
  <c r="D559" i="3"/>
  <c r="G559" i="3" s="1"/>
  <c r="I558" i="3"/>
  <c r="H558" i="3"/>
  <c r="F558" i="3"/>
  <c r="E558" i="3"/>
  <c r="D558" i="3"/>
  <c r="G558" i="3" s="1"/>
  <c r="I557" i="3"/>
  <c r="H557" i="3"/>
  <c r="F557" i="3"/>
  <c r="E557" i="3"/>
  <c r="D557" i="3"/>
  <c r="G557" i="3" s="1"/>
  <c r="I556" i="3"/>
  <c r="H556" i="3"/>
  <c r="F556" i="3"/>
  <c r="E556" i="3"/>
  <c r="D556" i="3"/>
  <c r="G556" i="3" s="1"/>
  <c r="I555" i="3"/>
  <c r="H555" i="3"/>
  <c r="F555" i="3"/>
  <c r="E555" i="3"/>
  <c r="D555" i="3"/>
  <c r="G555" i="3" s="1"/>
  <c r="I554" i="3"/>
  <c r="H554" i="3"/>
  <c r="F554" i="3"/>
  <c r="E554" i="3"/>
  <c r="D554" i="3"/>
  <c r="G554" i="3" s="1"/>
  <c r="I553" i="3"/>
  <c r="H553" i="3"/>
  <c r="F553" i="3"/>
  <c r="E553" i="3"/>
  <c r="D553" i="3"/>
  <c r="G553" i="3" s="1"/>
  <c r="I552" i="3"/>
  <c r="H552" i="3"/>
  <c r="F552" i="3"/>
  <c r="E552" i="3"/>
  <c r="D552" i="3"/>
  <c r="G552" i="3" s="1"/>
  <c r="I551" i="3"/>
  <c r="H551" i="3"/>
  <c r="F551" i="3"/>
  <c r="E551" i="3"/>
  <c r="D551" i="3"/>
  <c r="G551" i="3" s="1"/>
  <c r="I550" i="3"/>
  <c r="H550" i="3"/>
  <c r="F550" i="3"/>
  <c r="E550" i="3"/>
  <c r="D550" i="3"/>
  <c r="G550" i="3" s="1"/>
  <c r="I549" i="3"/>
  <c r="H549" i="3"/>
  <c r="F549" i="3"/>
  <c r="E549" i="3"/>
  <c r="D549" i="3"/>
  <c r="G549" i="3" s="1"/>
  <c r="I548" i="3"/>
  <c r="H548" i="3"/>
  <c r="F548" i="3"/>
  <c r="E548" i="3"/>
  <c r="D548" i="3"/>
  <c r="G548" i="3" s="1"/>
  <c r="I547" i="3"/>
  <c r="H547" i="3"/>
  <c r="F547" i="3"/>
  <c r="E547" i="3"/>
  <c r="D547" i="3"/>
  <c r="G547" i="3" s="1"/>
  <c r="I546" i="3"/>
  <c r="H546" i="3"/>
  <c r="F546" i="3"/>
  <c r="E546" i="3"/>
  <c r="D546" i="3"/>
  <c r="G546" i="3" s="1"/>
  <c r="I545" i="3"/>
  <c r="H545" i="3"/>
  <c r="F545" i="3"/>
  <c r="E545" i="3"/>
  <c r="D545" i="3"/>
  <c r="G545" i="3" s="1"/>
  <c r="I544" i="3"/>
  <c r="H544" i="3"/>
  <c r="F544" i="3"/>
  <c r="E544" i="3"/>
  <c r="D544" i="3"/>
  <c r="G544" i="3" s="1"/>
  <c r="I543" i="3"/>
  <c r="H543" i="3"/>
  <c r="F543" i="3"/>
  <c r="E543" i="3"/>
  <c r="D543" i="3"/>
  <c r="G543" i="3" s="1"/>
  <c r="I542" i="3"/>
  <c r="H542" i="3"/>
  <c r="F542" i="3"/>
  <c r="E542" i="3"/>
  <c r="D542" i="3"/>
  <c r="G542" i="3" s="1"/>
  <c r="I541" i="3"/>
  <c r="H541" i="3"/>
  <c r="G541" i="3"/>
  <c r="F541" i="3"/>
  <c r="E541" i="3"/>
  <c r="D541" i="3"/>
  <c r="I540" i="3"/>
  <c r="H540" i="3"/>
  <c r="F540" i="3"/>
  <c r="E540" i="3"/>
  <c r="D540" i="3"/>
  <c r="G540" i="3" s="1"/>
  <c r="I539" i="3"/>
  <c r="H539" i="3"/>
  <c r="F539" i="3"/>
  <c r="E539" i="3"/>
  <c r="D539" i="3"/>
  <c r="G539" i="3" s="1"/>
  <c r="I538" i="3"/>
  <c r="H538" i="3"/>
  <c r="F538" i="3"/>
  <c r="E538" i="3"/>
  <c r="D538" i="3"/>
  <c r="G538" i="3" s="1"/>
  <c r="I537" i="3"/>
  <c r="H537" i="3"/>
  <c r="F537" i="3"/>
  <c r="E537" i="3"/>
  <c r="D537" i="3"/>
  <c r="G537" i="3" s="1"/>
  <c r="I536" i="3"/>
  <c r="H536" i="3"/>
  <c r="F536" i="3"/>
  <c r="E536" i="3"/>
  <c r="D536" i="3"/>
  <c r="G536" i="3" s="1"/>
  <c r="I535" i="3"/>
  <c r="H535" i="3"/>
  <c r="F535" i="3"/>
  <c r="E535" i="3"/>
  <c r="D535" i="3"/>
  <c r="G535" i="3" s="1"/>
  <c r="I534" i="3"/>
  <c r="H534" i="3"/>
  <c r="F534" i="3"/>
  <c r="E534" i="3"/>
  <c r="D534" i="3"/>
  <c r="G534" i="3" s="1"/>
  <c r="I533" i="3"/>
  <c r="H533" i="3"/>
  <c r="F533" i="3"/>
  <c r="E533" i="3"/>
  <c r="D533" i="3"/>
  <c r="G533" i="3" s="1"/>
  <c r="I532" i="3"/>
  <c r="H532" i="3"/>
  <c r="F532" i="3"/>
  <c r="E532" i="3"/>
  <c r="D532" i="3"/>
  <c r="G532" i="3" s="1"/>
  <c r="I531" i="3"/>
  <c r="H531" i="3"/>
  <c r="F531" i="3"/>
  <c r="E531" i="3"/>
  <c r="D531" i="3"/>
  <c r="G531" i="3" s="1"/>
  <c r="I530" i="3"/>
  <c r="H530" i="3"/>
  <c r="F530" i="3"/>
  <c r="E530" i="3"/>
  <c r="D530" i="3"/>
  <c r="G530" i="3" s="1"/>
  <c r="I529" i="3"/>
  <c r="H529" i="3"/>
  <c r="F529" i="3"/>
  <c r="E529" i="3"/>
  <c r="D529" i="3"/>
  <c r="G529" i="3" s="1"/>
  <c r="I528" i="3"/>
  <c r="H528" i="3"/>
  <c r="G528" i="3"/>
  <c r="F528" i="3"/>
  <c r="E528" i="3"/>
  <c r="D528" i="3"/>
  <c r="I527" i="3"/>
  <c r="H527" i="3"/>
  <c r="F527" i="3"/>
  <c r="E527" i="3"/>
  <c r="D527" i="3"/>
  <c r="G527" i="3" s="1"/>
  <c r="I526" i="3"/>
  <c r="H526" i="3"/>
  <c r="F526" i="3"/>
  <c r="E526" i="3"/>
  <c r="D526" i="3"/>
  <c r="G526" i="3" s="1"/>
  <c r="I525" i="3"/>
  <c r="H525" i="3"/>
  <c r="F525" i="3"/>
  <c r="E525" i="3"/>
  <c r="D525" i="3"/>
  <c r="G525" i="3" s="1"/>
  <c r="I524" i="3"/>
  <c r="H524" i="3"/>
  <c r="F524" i="3"/>
  <c r="E524" i="3"/>
  <c r="D524" i="3"/>
  <c r="G524" i="3" s="1"/>
  <c r="I523" i="3"/>
  <c r="H523" i="3"/>
  <c r="F523" i="3"/>
  <c r="E523" i="3"/>
  <c r="D523" i="3"/>
  <c r="G523" i="3" s="1"/>
  <c r="I522" i="3"/>
  <c r="H522" i="3"/>
  <c r="G522" i="3"/>
  <c r="F522" i="3"/>
  <c r="E522" i="3"/>
  <c r="D522" i="3"/>
  <c r="I521" i="3"/>
  <c r="H521" i="3"/>
  <c r="F521" i="3"/>
  <c r="E521" i="3"/>
  <c r="D521" i="3"/>
  <c r="G521" i="3" s="1"/>
  <c r="I520" i="3"/>
  <c r="H520" i="3"/>
  <c r="F520" i="3"/>
  <c r="E520" i="3"/>
  <c r="D520" i="3"/>
  <c r="G520" i="3" s="1"/>
  <c r="I519" i="3"/>
  <c r="H519" i="3"/>
  <c r="F519" i="3"/>
  <c r="E519" i="3"/>
  <c r="D519" i="3"/>
  <c r="G519" i="3" s="1"/>
  <c r="I494" i="3"/>
  <c r="H494" i="3"/>
  <c r="G494" i="3"/>
  <c r="F494" i="3"/>
  <c r="E494" i="3"/>
  <c r="D494" i="3"/>
  <c r="I493" i="3"/>
  <c r="H493" i="3"/>
  <c r="G493" i="3"/>
  <c r="F493" i="3"/>
  <c r="E493" i="3"/>
  <c r="D493" i="3"/>
  <c r="I492" i="3"/>
  <c r="H492" i="3"/>
  <c r="F492" i="3"/>
  <c r="E492" i="3"/>
  <c r="D492" i="3"/>
  <c r="G492" i="3" s="1"/>
  <c r="I491" i="3"/>
  <c r="H491" i="3"/>
  <c r="F491" i="3"/>
  <c r="E491" i="3"/>
  <c r="D491" i="3"/>
  <c r="G491" i="3" s="1"/>
  <c r="I490" i="3"/>
  <c r="H490" i="3"/>
  <c r="F490" i="3"/>
  <c r="E490" i="3"/>
  <c r="D490" i="3"/>
  <c r="G490" i="3" s="1"/>
  <c r="I489" i="3"/>
  <c r="H489" i="3"/>
  <c r="F489" i="3"/>
  <c r="E489" i="3"/>
  <c r="D489" i="3"/>
  <c r="G489" i="3" s="1"/>
  <c r="I488" i="3"/>
  <c r="H488" i="3"/>
  <c r="F488" i="3"/>
  <c r="E488" i="3"/>
  <c r="D488" i="3"/>
  <c r="G488" i="3" s="1"/>
  <c r="I487" i="3"/>
  <c r="H487" i="3"/>
  <c r="F487" i="3"/>
  <c r="E487" i="3"/>
  <c r="D487" i="3"/>
  <c r="G487" i="3" s="1"/>
  <c r="I486" i="3"/>
  <c r="H486" i="3"/>
  <c r="F486" i="3"/>
  <c r="E486" i="3"/>
  <c r="D486" i="3"/>
  <c r="G486" i="3" s="1"/>
  <c r="I485" i="3"/>
  <c r="H485" i="3"/>
  <c r="F485" i="3"/>
  <c r="E485" i="3"/>
  <c r="D485" i="3"/>
  <c r="G485" i="3" s="1"/>
  <c r="I484" i="3"/>
  <c r="H484" i="3"/>
  <c r="F484" i="3"/>
  <c r="E484" i="3"/>
  <c r="D484" i="3"/>
  <c r="G484" i="3" s="1"/>
  <c r="I483" i="3"/>
  <c r="H483" i="3"/>
  <c r="F483" i="3"/>
  <c r="E483" i="3"/>
  <c r="D483" i="3"/>
  <c r="G483" i="3" s="1"/>
  <c r="I482" i="3"/>
  <c r="H482" i="3"/>
  <c r="F482" i="3"/>
  <c r="E482" i="3"/>
  <c r="D482" i="3"/>
  <c r="G482" i="3" s="1"/>
  <c r="I481" i="3"/>
  <c r="H481" i="3"/>
  <c r="F481" i="3"/>
  <c r="E481" i="3"/>
  <c r="D481" i="3"/>
  <c r="G481" i="3" s="1"/>
  <c r="I480" i="3"/>
  <c r="H480" i="3"/>
  <c r="F480" i="3"/>
  <c r="E480" i="3"/>
  <c r="D480" i="3"/>
  <c r="G480" i="3" s="1"/>
  <c r="I479" i="3"/>
  <c r="H479" i="3"/>
  <c r="F479" i="3"/>
  <c r="E479" i="3"/>
  <c r="D479" i="3"/>
  <c r="G479" i="3" s="1"/>
  <c r="I478" i="3"/>
  <c r="H478" i="3"/>
  <c r="F478" i="3"/>
  <c r="E478" i="3"/>
  <c r="D478" i="3"/>
  <c r="G478" i="3" s="1"/>
  <c r="I477" i="3"/>
  <c r="H477" i="3"/>
  <c r="F477" i="3"/>
  <c r="E477" i="3"/>
  <c r="D477" i="3"/>
  <c r="G477" i="3" s="1"/>
  <c r="I476" i="3"/>
  <c r="H476" i="3"/>
  <c r="F476" i="3"/>
  <c r="E476" i="3"/>
  <c r="D476" i="3"/>
  <c r="G476" i="3" s="1"/>
  <c r="I475" i="3"/>
  <c r="H475" i="3"/>
  <c r="F475" i="3"/>
  <c r="E475" i="3"/>
  <c r="D475" i="3"/>
  <c r="G475" i="3" s="1"/>
  <c r="I474" i="3"/>
  <c r="H474" i="3"/>
  <c r="G474" i="3"/>
  <c r="F474" i="3"/>
  <c r="E474" i="3"/>
  <c r="D474" i="3"/>
  <c r="I473" i="3"/>
  <c r="H473" i="3"/>
  <c r="F473" i="3"/>
  <c r="E473" i="3"/>
  <c r="D473" i="3"/>
  <c r="G473" i="3" s="1"/>
  <c r="I472" i="3"/>
  <c r="H472" i="3"/>
  <c r="F472" i="3"/>
  <c r="E472" i="3"/>
  <c r="D472" i="3"/>
  <c r="G472" i="3" s="1"/>
  <c r="I471" i="3"/>
  <c r="H471" i="3"/>
  <c r="F471" i="3"/>
  <c r="E471" i="3"/>
  <c r="D471" i="3"/>
  <c r="G471" i="3" s="1"/>
  <c r="I470" i="3"/>
  <c r="H470" i="3"/>
  <c r="F470" i="3"/>
  <c r="E470" i="3"/>
  <c r="D470" i="3"/>
  <c r="G470" i="3" s="1"/>
  <c r="I469" i="3"/>
  <c r="H469" i="3"/>
  <c r="F469" i="3"/>
  <c r="E469" i="3"/>
  <c r="D469" i="3"/>
  <c r="G469" i="3" s="1"/>
  <c r="I468" i="3"/>
  <c r="H468" i="3"/>
  <c r="F468" i="3"/>
  <c r="E468" i="3"/>
  <c r="D468" i="3"/>
  <c r="G468" i="3" s="1"/>
  <c r="I467" i="3"/>
  <c r="H467" i="3"/>
  <c r="F467" i="3"/>
  <c r="E467" i="3"/>
  <c r="D467" i="3"/>
  <c r="G467" i="3" s="1"/>
  <c r="I466" i="3"/>
  <c r="H466" i="3"/>
  <c r="F466" i="3"/>
  <c r="E466" i="3"/>
  <c r="D466" i="3"/>
  <c r="G466" i="3" s="1"/>
  <c r="I465" i="3"/>
  <c r="H465" i="3"/>
  <c r="F465" i="3"/>
  <c r="E465" i="3"/>
  <c r="D465" i="3"/>
  <c r="G465" i="3" s="1"/>
  <c r="I464" i="3"/>
  <c r="H464" i="3"/>
  <c r="F464" i="3"/>
  <c r="E464" i="3"/>
  <c r="D464" i="3"/>
  <c r="G464" i="3" s="1"/>
  <c r="I463" i="3"/>
  <c r="H463" i="3"/>
  <c r="F463" i="3"/>
  <c r="E463" i="3"/>
  <c r="D463" i="3"/>
  <c r="G463" i="3" s="1"/>
  <c r="I462" i="3"/>
  <c r="H462" i="3"/>
  <c r="F462" i="3"/>
  <c r="E462" i="3"/>
  <c r="D462" i="3"/>
  <c r="G462" i="3" s="1"/>
  <c r="I461" i="3"/>
  <c r="H461" i="3"/>
  <c r="F461" i="3"/>
  <c r="E461" i="3"/>
  <c r="D461" i="3"/>
  <c r="G461" i="3" s="1"/>
  <c r="I460" i="3"/>
  <c r="H460" i="3"/>
  <c r="F460" i="3"/>
  <c r="E460" i="3"/>
  <c r="D460" i="3"/>
  <c r="G460" i="3" s="1"/>
  <c r="I459" i="3"/>
  <c r="H459" i="3"/>
  <c r="F459" i="3"/>
  <c r="E459" i="3"/>
  <c r="D459" i="3"/>
  <c r="G459" i="3" s="1"/>
  <c r="I458" i="3"/>
  <c r="H458" i="3"/>
  <c r="F458" i="3"/>
  <c r="E458" i="3"/>
  <c r="D458" i="3"/>
  <c r="G458" i="3" s="1"/>
  <c r="I457" i="3"/>
  <c r="H457" i="3"/>
  <c r="F457" i="3"/>
  <c r="E457" i="3"/>
  <c r="D457" i="3"/>
  <c r="G457" i="3" s="1"/>
  <c r="I456" i="3"/>
  <c r="H456" i="3"/>
  <c r="G456" i="3"/>
  <c r="F456" i="3"/>
  <c r="E456" i="3"/>
  <c r="D456" i="3"/>
  <c r="I455" i="3"/>
  <c r="H455" i="3"/>
  <c r="F455" i="3"/>
  <c r="E455" i="3"/>
  <c r="D455" i="3"/>
  <c r="G455" i="3" s="1"/>
  <c r="D454" i="3"/>
  <c r="G454" i="3" s="1"/>
  <c r="D453" i="3"/>
  <c r="G453" i="3" s="1"/>
  <c r="D452" i="3"/>
  <c r="G452" i="3" s="1"/>
  <c r="D451" i="3"/>
  <c r="G451" i="3" s="1"/>
  <c r="D450" i="3"/>
  <c r="G450" i="3" s="1"/>
  <c r="D449" i="3"/>
  <c r="G449" i="3" s="1"/>
  <c r="D448" i="3"/>
  <c r="G448" i="3" s="1"/>
  <c r="D447" i="3"/>
  <c r="G447" i="3" s="1"/>
  <c r="I446" i="3"/>
  <c r="H446" i="3"/>
  <c r="F446" i="3"/>
  <c r="E446" i="3"/>
  <c r="D446" i="3"/>
  <c r="G446" i="3" s="1"/>
  <c r="I445" i="3"/>
  <c r="H445" i="3"/>
  <c r="F445" i="3"/>
  <c r="E445" i="3"/>
  <c r="D445" i="3"/>
  <c r="G445" i="3" s="1"/>
  <c r="I444" i="3"/>
  <c r="H444" i="3"/>
  <c r="F444" i="3"/>
  <c r="E444" i="3"/>
  <c r="D444" i="3"/>
  <c r="G444" i="3" s="1"/>
  <c r="I443" i="3"/>
  <c r="H443" i="3"/>
  <c r="F443" i="3"/>
  <c r="E443" i="3"/>
  <c r="D443" i="3"/>
  <c r="G443" i="3" s="1"/>
  <c r="I442" i="3"/>
  <c r="H442" i="3"/>
  <c r="F442" i="3"/>
  <c r="E442" i="3"/>
  <c r="D442" i="3"/>
  <c r="G442" i="3" s="1"/>
  <c r="I441" i="3"/>
  <c r="H441" i="3"/>
  <c r="F441" i="3"/>
  <c r="E441" i="3"/>
  <c r="D441" i="3"/>
  <c r="G441" i="3" s="1"/>
  <c r="I440" i="3"/>
  <c r="H440" i="3"/>
  <c r="F440" i="3"/>
  <c r="E440" i="3"/>
  <c r="D440" i="3"/>
  <c r="G440" i="3" s="1"/>
  <c r="I426" i="3"/>
  <c r="H426" i="3"/>
  <c r="G426" i="3"/>
  <c r="F426" i="3"/>
  <c r="E426" i="3"/>
  <c r="D426" i="3"/>
  <c r="I425" i="3"/>
  <c r="H425" i="3"/>
  <c r="G425" i="3"/>
  <c r="F425" i="3"/>
  <c r="E425" i="3"/>
  <c r="D425" i="3"/>
  <c r="I424" i="3"/>
  <c r="H424" i="3"/>
  <c r="G424" i="3"/>
  <c r="F424" i="3"/>
  <c r="E424" i="3"/>
  <c r="D424" i="3"/>
  <c r="I423" i="3"/>
  <c r="H423" i="3"/>
  <c r="G423" i="3"/>
  <c r="F423" i="3"/>
  <c r="E423" i="3"/>
  <c r="D423" i="3"/>
  <c r="I422" i="3"/>
  <c r="H422" i="3"/>
  <c r="F422" i="3"/>
  <c r="E422" i="3"/>
  <c r="D422" i="3"/>
  <c r="I421" i="3"/>
  <c r="H421" i="3"/>
  <c r="F421" i="3"/>
  <c r="E421" i="3"/>
  <c r="D421" i="3"/>
  <c r="I420" i="3"/>
  <c r="H420" i="3"/>
  <c r="F420" i="3"/>
  <c r="E420" i="3"/>
  <c r="D420" i="3"/>
  <c r="I419" i="3"/>
  <c r="H419" i="3"/>
  <c r="F419" i="3"/>
  <c r="E419" i="3"/>
  <c r="D419" i="3"/>
  <c r="I418" i="3"/>
  <c r="H418" i="3"/>
  <c r="F418" i="3"/>
  <c r="E418" i="3"/>
  <c r="D418" i="3"/>
  <c r="I417" i="3"/>
  <c r="H417" i="3"/>
  <c r="F417" i="3"/>
  <c r="E417" i="3"/>
  <c r="D417" i="3"/>
  <c r="I416" i="3"/>
  <c r="H416" i="3"/>
  <c r="F416" i="3"/>
  <c r="E416" i="3"/>
  <c r="D416" i="3"/>
  <c r="I415" i="3"/>
  <c r="H415" i="3"/>
  <c r="F415" i="3"/>
  <c r="E415" i="3"/>
  <c r="D415" i="3"/>
  <c r="I414" i="3"/>
  <c r="H414" i="3"/>
  <c r="F414" i="3"/>
  <c r="E414" i="3"/>
  <c r="D414" i="3"/>
  <c r="I413" i="3"/>
  <c r="H413" i="3"/>
  <c r="F413" i="3"/>
  <c r="E413" i="3"/>
  <c r="D413" i="3"/>
  <c r="I412" i="3"/>
  <c r="H412" i="3"/>
  <c r="F412" i="3"/>
  <c r="E412" i="3"/>
  <c r="D412" i="3"/>
  <c r="I411" i="3"/>
  <c r="H411" i="3"/>
  <c r="F411" i="3"/>
  <c r="E411" i="3"/>
  <c r="D411" i="3"/>
  <c r="I410" i="3"/>
  <c r="H410" i="3"/>
  <c r="F410" i="3"/>
  <c r="E410" i="3"/>
  <c r="D410" i="3"/>
  <c r="I409" i="3"/>
  <c r="H409" i="3"/>
  <c r="F409" i="3"/>
  <c r="E409" i="3"/>
  <c r="D409" i="3"/>
  <c r="I408" i="3"/>
  <c r="H408" i="3"/>
  <c r="F408" i="3"/>
  <c r="E408" i="3"/>
  <c r="D408" i="3"/>
  <c r="I407" i="3"/>
  <c r="H407" i="3"/>
  <c r="F407" i="3"/>
  <c r="E407" i="3"/>
  <c r="D407" i="3"/>
  <c r="I406" i="3"/>
  <c r="H406" i="3"/>
  <c r="F406" i="3"/>
  <c r="E406" i="3"/>
  <c r="D406" i="3"/>
  <c r="I405" i="3"/>
  <c r="H405" i="3"/>
  <c r="F405" i="3"/>
  <c r="E405" i="3"/>
  <c r="D405" i="3"/>
  <c r="I404" i="3"/>
  <c r="H404" i="3"/>
  <c r="F404" i="3"/>
  <c r="E404" i="3"/>
  <c r="D404" i="3"/>
  <c r="I403" i="3"/>
  <c r="H403" i="3"/>
  <c r="F403" i="3"/>
  <c r="E403" i="3"/>
  <c r="D403" i="3"/>
  <c r="I402" i="3"/>
  <c r="H402" i="3"/>
  <c r="F402" i="3"/>
  <c r="E402" i="3"/>
  <c r="D402" i="3"/>
  <c r="I401" i="3"/>
  <c r="H401" i="3"/>
  <c r="F401" i="3"/>
  <c r="E401" i="3"/>
  <c r="D401" i="3"/>
  <c r="I400" i="3"/>
  <c r="H400" i="3"/>
  <c r="F400" i="3"/>
  <c r="E400" i="3"/>
  <c r="D400" i="3"/>
  <c r="I399" i="3"/>
  <c r="H399" i="3"/>
  <c r="F399" i="3"/>
  <c r="E399" i="3"/>
  <c r="D399" i="3"/>
  <c r="I398" i="3"/>
  <c r="H398" i="3"/>
  <c r="F398" i="3"/>
  <c r="E398" i="3"/>
  <c r="D398" i="3"/>
  <c r="I397" i="3"/>
  <c r="H397" i="3"/>
  <c r="F397" i="3"/>
  <c r="E397" i="3"/>
  <c r="D397" i="3"/>
  <c r="I396" i="3"/>
  <c r="H396" i="3"/>
  <c r="F396" i="3"/>
  <c r="E396" i="3"/>
  <c r="D396" i="3"/>
  <c r="I395" i="3"/>
  <c r="H395" i="3"/>
  <c r="F395" i="3"/>
  <c r="E395" i="3"/>
  <c r="D395" i="3"/>
  <c r="I394" i="3"/>
  <c r="H394" i="3"/>
  <c r="F394" i="3"/>
  <c r="E394" i="3"/>
  <c r="D394" i="3"/>
  <c r="I393" i="3"/>
  <c r="H393" i="3"/>
  <c r="F393" i="3"/>
  <c r="E393" i="3"/>
  <c r="D393" i="3"/>
  <c r="I392" i="3"/>
  <c r="H392" i="3"/>
  <c r="F392" i="3"/>
  <c r="E392" i="3"/>
  <c r="D392" i="3"/>
  <c r="I391" i="3"/>
  <c r="H391" i="3"/>
  <c r="F391" i="3"/>
  <c r="E391" i="3"/>
  <c r="D391" i="3"/>
  <c r="I390" i="3"/>
  <c r="H390" i="3"/>
  <c r="F390" i="3"/>
  <c r="E390" i="3"/>
  <c r="D390" i="3"/>
  <c r="I389" i="3"/>
  <c r="H389" i="3"/>
  <c r="F389" i="3"/>
  <c r="E389" i="3"/>
  <c r="D389" i="3"/>
  <c r="I388" i="3"/>
  <c r="H388" i="3"/>
  <c r="F388" i="3"/>
  <c r="E388" i="3"/>
  <c r="D388" i="3"/>
  <c r="I387" i="3"/>
  <c r="H387" i="3"/>
  <c r="F387" i="3"/>
  <c r="E387" i="3"/>
  <c r="D387" i="3"/>
  <c r="I386" i="3"/>
  <c r="H386" i="3"/>
  <c r="F386" i="3"/>
  <c r="E386" i="3"/>
  <c r="D386" i="3"/>
  <c r="I385" i="3"/>
  <c r="H385" i="3"/>
  <c r="F385" i="3"/>
  <c r="E385" i="3"/>
  <c r="D385" i="3"/>
  <c r="I384" i="3"/>
  <c r="H384" i="3"/>
  <c r="F384" i="3"/>
  <c r="E384" i="3"/>
  <c r="D384" i="3"/>
  <c r="I383" i="3"/>
  <c r="H383" i="3"/>
  <c r="F383" i="3"/>
  <c r="E383" i="3"/>
  <c r="D383" i="3"/>
  <c r="I382" i="3"/>
  <c r="H382" i="3"/>
  <c r="F382" i="3"/>
  <c r="E382" i="3"/>
  <c r="D382" i="3"/>
  <c r="I381" i="3"/>
  <c r="H381" i="3"/>
  <c r="F381" i="3"/>
  <c r="E381" i="3"/>
  <c r="D381" i="3"/>
  <c r="I380" i="3"/>
  <c r="H380" i="3"/>
  <c r="F380" i="3"/>
  <c r="E380" i="3"/>
  <c r="D380" i="3"/>
  <c r="I379" i="3"/>
  <c r="H379" i="3"/>
  <c r="F379" i="3"/>
  <c r="E379" i="3"/>
  <c r="D379" i="3"/>
  <c r="I378" i="3"/>
  <c r="H378" i="3"/>
  <c r="F378" i="3"/>
  <c r="E378" i="3"/>
  <c r="D378" i="3"/>
  <c r="I377" i="3"/>
  <c r="H377" i="3"/>
  <c r="F377" i="3"/>
  <c r="E377" i="3"/>
  <c r="D377" i="3"/>
  <c r="I376" i="3"/>
  <c r="H376" i="3"/>
  <c r="F376" i="3"/>
  <c r="E376" i="3"/>
  <c r="D376" i="3"/>
  <c r="I375" i="3"/>
  <c r="H375" i="3"/>
  <c r="F375" i="3"/>
  <c r="E375" i="3"/>
  <c r="D375" i="3"/>
  <c r="I356" i="3"/>
  <c r="H356" i="3"/>
  <c r="G356" i="3"/>
  <c r="F356" i="3"/>
  <c r="E356" i="3"/>
  <c r="D356" i="3"/>
  <c r="I355" i="3"/>
  <c r="H355" i="3"/>
  <c r="G355" i="3"/>
  <c r="F355" i="3"/>
  <c r="E355" i="3"/>
  <c r="D355" i="3"/>
  <c r="I354" i="3"/>
  <c r="H354" i="3"/>
  <c r="G354" i="3"/>
  <c r="F354" i="3"/>
  <c r="E354" i="3"/>
  <c r="D354" i="3"/>
  <c r="I353" i="3"/>
  <c r="H353" i="3"/>
  <c r="G353" i="3"/>
  <c r="F353" i="3"/>
  <c r="E353" i="3"/>
  <c r="D353" i="3"/>
  <c r="I352" i="3"/>
  <c r="H352" i="3"/>
  <c r="G352" i="3"/>
  <c r="F352" i="3"/>
  <c r="E352" i="3"/>
  <c r="D352" i="3"/>
  <c r="I351" i="3"/>
  <c r="H351" i="3"/>
  <c r="F351" i="3"/>
  <c r="E351" i="3"/>
  <c r="D351" i="3"/>
  <c r="I350" i="3"/>
  <c r="H350" i="3"/>
  <c r="F350" i="3"/>
  <c r="E350" i="3"/>
  <c r="D350" i="3"/>
  <c r="I349" i="3"/>
  <c r="H349" i="3"/>
  <c r="F349" i="3"/>
  <c r="E349" i="3"/>
  <c r="D349" i="3"/>
  <c r="I348" i="3"/>
  <c r="H348" i="3"/>
  <c r="F348" i="3"/>
  <c r="E348" i="3"/>
  <c r="D348" i="3"/>
  <c r="I347" i="3"/>
  <c r="H347" i="3"/>
  <c r="F347" i="3"/>
  <c r="E347" i="3"/>
  <c r="D347" i="3"/>
  <c r="I346" i="3"/>
  <c r="H346" i="3"/>
  <c r="F346" i="3"/>
  <c r="E346" i="3"/>
  <c r="D346" i="3"/>
  <c r="I345" i="3"/>
  <c r="H345" i="3"/>
  <c r="F345" i="3"/>
  <c r="E345" i="3"/>
  <c r="D345" i="3"/>
  <c r="I344" i="3"/>
  <c r="H344" i="3"/>
  <c r="F344" i="3"/>
  <c r="E344" i="3"/>
  <c r="D344" i="3"/>
  <c r="I343" i="3"/>
  <c r="H343" i="3"/>
  <c r="F343" i="3"/>
  <c r="E343" i="3"/>
  <c r="D343" i="3"/>
  <c r="I342" i="3"/>
  <c r="H342" i="3"/>
  <c r="F342" i="3"/>
  <c r="E342" i="3"/>
  <c r="D342" i="3"/>
  <c r="I341" i="3"/>
  <c r="H341" i="3"/>
  <c r="F341" i="3"/>
  <c r="E341" i="3"/>
  <c r="D341" i="3"/>
  <c r="I340" i="3"/>
  <c r="H340" i="3"/>
  <c r="F340" i="3"/>
  <c r="E340" i="3"/>
  <c r="D340" i="3"/>
  <c r="I339" i="3"/>
  <c r="H339" i="3"/>
  <c r="F339" i="3"/>
  <c r="E339" i="3"/>
  <c r="D339" i="3"/>
  <c r="I338" i="3"/>
  <c r="H338" i="3"/>
  <c r="F338" i="3"/>
  <c r="E338" i="3"/>
  <c r="D338" i="3"/>
  <c r="I337" i="3"/>
  <c r="H337" i="3"/>
  <c r="F337" i="3"/>
  <c r="E337" i="3"/>
  <c r="D337" i="3"/>
  <c r="I336" i="3"/>
  <c r="H336" i="3"/>
  <c r="F336" i="3"/>
  <c r="E336" i="3"/>
  <c r="D336" i="3"/>
  <c r="I335" i="3"/>
  <c r="H335" i="3"/>
  <c r="F335" i="3"/>
  <c r="E335" i="3"/>
  <c r="D335" i="3"/>
  <c r="I334" i="3"/>
  <c r="H334" i="3"/>
  <c r="F334" i="3"/>
  <c r="E334" i="3"/>
  <c r="D334" i="3"/>
  <c r="I333" i="3"/>
  <c r="H333" i="3"/>
  <c r="F333" i="3"/>
  <c r="E333" i="3"/>
  <c r="D333" i="3"/>
  <c r="I332" i="3"/>
  <c r="H332" i="3"/>
  <c r="F332" i="3"/>
  <c r="E332" i="3"/>
  <c r="D332" i="3"/>
  <c r="I331" i="3"/>
  <c r="H331" i="3"/>
  <c r="F331" i="3"/>
  <c r="E331" i="3"/>
  <c r="D331" i="3"/>
  <c r="I330" i="3"/>
  <c r="H330" i="3"/>
  <c r="F330" i="3"/>
  <c r="E330" i="3"/>
  <c r="D330" i="3"/>
  <c r="I329" i="3"/>
  <c r="H329" i="3"/>
  <c r="F329" i="3"/>
  <c r="E329" i="3"/>
  <c r="D329" i="3"/>
  <c r="I328" i="3"/>
  <c r="H328" i="3"/>
  <c r="F328" i="3"/>
  <c r="E328" i="3"/>
  <c r="D328" i="3"/>
  <c r="I327" i="3"/>
  <c r="H327" i="3"/>
  <c r="F327" i="3"/>
  <c r="E327" i="3"/>
  <c r="D327" i="3"/>
  <c r="I326" i="3"/>
  <c r="H326" i="3"/>
  <c r="F326" i="3"/>
  <c r="E326" i="3"/>
  <c r="D326" i="3"/>
  <c r="I325" i="3"/>
  <c r="H325" i="3"/>
  <c r="F325" i="3"/>
  <c r="E325" i="3"/>
  <c r="D325" i="3"/>
  <c r="I324" i="3"/>
  <c r="H324" i="3"/>
  <c r="F324" i="3"/>
  <c r="E324" i="3"/>
  <c r="D324" i="3"/>
  <c r="I323" i="3"/>
  <c r="H323" i="3"/>
  <c r="F323" i="3"/>
  <c r="E323" i="3"/>
  <c r="D323" i="3"/>
  <c r="I322" i="3"/>
  <c r="H322" i="3"/>
  <c r="F322" i="3"/>
  <c r="E322" i="3"/>
  <c r="D322" i="3"/>
  <c r="I321" i="3"/>
  <c r="H321" i="3"/>
  <c r="F321" i="3"/>
  <c r="E321" i="3"/>
  <c r="D321" i="3"/>
  <c r="I320" i="3"/>
  <c r="H320" i="3"/>
  <c r="F320" i="3"/>
  <c r="E320" i="3"/>
  <c r="D320" i="3"/>
  <c r="I319" i="3"/>
  <c r="H319" i="3"/>
  <c r="F319" i="3"/>
  <c r="E319" i="3"/>
  <c r="D319" i="3"/>
  <c r="I318" i="3"/>
  <c r="H318" i="3"/>
  <c r="F318" i="3"/>
  <c r="E318" i="3"/>
  <c r="D318" i="3"/>
  <c r="I317" i="3"/>
  <c r="H317" i="3"/>
  <c r="F317" i="3"/>
  <c r="E317" i="3"/>
  <c r="D317" i="3"/>
  <c r="I316" i="3"/>
  <c r="H316" i="3"/>
  <c r="F316" i="3"/>
  <c r="E316" i="3"/>
  <c r="D316" i="3"/>
  <c r="I315" i="3"/>
  <c r="H315" i="3"/>
  <c r="F315" i="3"/>
  <c r="E315" i="3"/>
  <c r="D315" i="3"/>
  <c r="I314" i="3"/>
  <c r="H314" i="3"/>
  <c r="F314" i="3"/>
  <c r="E314" i="3"/>
  <c r="D314" i="3"/>
  <c r="I313" i="3"/>
  <c r="H313" i="3"/>
  <c r="F313" i="3"/>
  <c r="E313" i="3"/>
  <c r="D313" i="3"/>
  <c r="I312" i="3"/>
  <c r="H312" i="3"/>
  <c r="F312" i="3"/>
  <c r="E312" i="3"/>
  <c r="D312" i="3"/>
  <c r="I311" i="3"/>
  <c r="H311" i="3"/>
  <c r="F311" i="3"/>
  <c r="E311" i="3"/>
  <c r="D311" i="3"/>
  <c r="I310" i="3"/>
  <c r="H310" i="3"/>
  <c r="F310" i="3"/>
  <c r="E310" i="3"/>
  <c r="D310" i="3"/>
  <c r="I309" i="3"/>
  <c r="H309" i="3"/>
  <c r="F309" i="3"/>
  <c r="E309" i="3"/>
  <c r="D309" i="3"/>
  <c r="I308" i="3"/>
  <c r="H308" i="3"/>
  <c r="F308" i="3"/>
  <c r="E308" i="3"/>
  <c r="D308" i="3"/>
  <c r="I307" i="3"/>
  <c r="H307" i="3"/>
  <c r="F307" i="3"/>
  <c r="E307" i="3"/>
  <c r="D307" i="3"/>
  <c r="I306" i="3"/>
  <c r="H306" i="3"/>
  <c r="F306" i="3"/>
  <c r="E306" i="3"/>
  <c r="D306" i="3"/>
  <c r="I305" i="3"/>
  <c r="H305" i="3"/>
  <c r="F305" i="3"/>
  <c r="E305" i="3"/>
  <c r="D305" i="3"/>
  <c r="I304" i="3"/>
  <c r="H304" i="3"/>
  <c r="F304" i="3"/>
  <c r="E304" i="3"/>
  <c r="D304" i="3"/>
  <c r="I303" i="3"/>
  <c r="H303" i="3"/>
  <c r="F303" i="3"/>
  <c r="E303" i="3"/>
  <c r="D303" i="3"/>
  <c r="I302" i="3"/>
  <c r="H302" i="3"/>
  <c r="F302" i="3"/>
  <c r="E302" i="3"/>
  <c r="D302" i="3"/>
  <c r="I285" i="3"/>
  <c r="H285" i="3"/>
  <c r="G285" i="3"/>
  <c r="F285" i="3"/>
  <c r="E285" i="3"/>
  <c r="D285" i="3"/>
  <c r="I284" i="3"/>
  <c r="H284" i="3"/>
  <c r="G284" i="3"/>
  <c r="F284" i="3"/>
  <c r="E284" i="3"/>
  <c r="D284" i="3"/>
  <c r="I283" i="3"/>
  <c r="H283" i="3"/>
  <c r="G283" i="3"/>
  <c r="F283" i="3"/>
  <c r="E283" i="3"/>
  <c r="D283" i="3"/>
  <c r="I282" i="3"/>
  <c r="H282" i="3"/>
  <c r="G282" i="3"/>
  <c r="F282" i="3"/>
  <c r="E282" i="3"/>
  <c r="D282" i="3"/>
  <c r="I281" i="3"/>
  <c r="H281" i="3"/>
  <c r="G281" i="3"/>
  <c r="F281" i="3"/>
  <c r="E281" i="3"/>
  <c r="D281" i="3"/>
  <c r="I280" i="3"/>
  <c r="H280" i="3"/>
  <c r="F280" i="3"/>
  <c r="E280" i="3"/>
  <c r="D280" i="3"/>
  <c r="I279" i="3"/>
  <c r="H279" i="3"/>
  <c r="F279" i="3"/>
  <c r="E279" i="3"/>
  <c r="D279" i="3"/>
  <c r="I278" i="3"/>
  <c r="H278" i="3"/>
  <c r="F278" i="3"/>
  <c r="E278" i="3"/>
  <c r="D278" i="3"/>
  <c r="I277" i="3"/>
  <c r="H277" i="3"/>
  <c r="F277" i="3"/>
  <c r="E277" i="3"/>
  <c r="D277" i="3"/>
  <c r="I276" i="3"/>
  <c r="H276" i="3"/>
  <c r="F276" i="3"/>
  <c r="E276" i="3"/>
  <c r="D276" i="3"/>
  <c r="I275" i="3"/>
  <c r="H275" i="3"/>
  <c r="F275" i="3"/>
  <c r="E275" i="3"/>
  <c r="D275" i="3"/>
  <c r="I274" i="3"/>
  <c r="H274" i="3"/>
  <c r="F274" i="3"/>
  <c r="E274" i="3"/>
  <c r="D274" i="3"/>
  <c r="I273" i="3"/>
  <c r="H273" i="3"/>
  <c r="F273" i="3"/>
  <c r="E273" i="3"/>
  <c r="D273" i="3"/>
  <c r="I272" i="3"/>
  <c r="H272" i="3"/>
  <c r="F272" i="3"/>
  <c r="E272" i="3"/>
  <c r="D272" i="3"/>
  <c r="I271" i="3"/>
  <c r="H271" i="3"/>
  <c r="F271" i="3"/>
  <c r="E271" i="3"/>
  <c r="D271" i="3"/>
  <c r="I270" i="3"/>
  <c r="H270" i="3"/>
  <c r="F270" i="3"/>
  <c r="E270" i="3"/>
  <c r="D270" i="3"/>
  <c r="I269" i="3"/>
  <c r="H269" i="3"/>
  <c r="F269" i="3"/>
  <c r="E269" i="3"/>
  <c r="D269" i="3"/>
  <c r="I268" i="3"/>
  <c r="H268" i="3"/>
  <c r="F268" i="3"/>
  <c r="E268" i="3"/>
  <c r="D268" i="3"/>
  <c r="I267" i="3"/>
  <c r="H267" i="3"/>
  <c r="F267" i="3"/>
  <c r="E267" i="3"/>
  <c r="D267" i="3"/>
  <c r="I266" i="3"/>
  <c r="H266" i="3"/>
  <c r="F266" i="3"/>
  <c r="E266" i="3"/>
  <c r="D266" i="3"/>
  <c r="I265" i="3"/>
  <c r="H265" i="3"/>
  <c r="F265" i="3"/>
  <c r="E265" i="3"/>
  <c r="D265" i="3"/>
  <c r="I264" i="3"/>
  <c r="H264" i="3"/>
  <c r="F264" i="3"/>
  <c r="E264" i="3"/>
  <c r="D264" i="3"/>
  <c r="I263" i="3"/>
  <c r="H263" i="3"/>
  <c r="F263" i="3"/>
  <c r="E263" i="3"/>
  <c r="D263" i="3"/>
  <c r="I262" i="3"/>
  <c r="H262" i="3"/>
  <c r="F262" i="3"/>
  <c r="E262" i="3"/>
  <c r="D262" i="3"/>
  <c r="I261" i="3"/>
  <c r="H261" i="3"/>
  <c r="F261" i="3"/>
  <c r="E261" i="3"/>
  <c r="D261" i="3"/>
  <c r="I260" i="3"/>
  <c r="H260" i="3"/>
  <c r="F260" i="3"/>
  <c r="E260" i="3"/>
  <c r="D260" i="3"/>
  <c r="I259" i="3"/>
  <c r="H259" i="3"/>
  <c r="F259" i="3"/>
  <c r="E259" i="3"/>
  <c r="D259" i="3"/>
  <c r="I258" i="3"/>
  <c r="H258" i="3"/>
  <c r="F258" i="3"/>
  <c r="E258" i="3"/>
  <c r="D258" i="3"/>
  <c r="I257" i="3"/>
  <c r="H257" i="3"/>
  <c r="F257" i="3"/>
  <c r="E257" i="3"/>
  <c r="D257" i="3"/>
  <c r="I256" i="3"/>
  <c r="H256" i="3"/>
  <c r="F256" i="3"/>
  <c r="E256" i="3"/>
  <c r="D256" i="3"/>
  <c r="I255" i="3"/>
  <c r="H255" i="3"/>
  <c r="F255" i="3"/>
  <c r="E255" i="3"/>
  <c r="D255" i="3"/>
  <c r="I254" i="3"/>
  <c r="H254" i="3"/>
  <c r="F254" i="3"/>
  <c r="E254" i="3"/>
  <c r="D254" i="3"/>
  <c r="I253" i="3"/>
  <c r="H253" i="3"/>
  <c r="F253" i="3"/>
  <c r="E253" i="3"/>
  <c r="D253" i="3"/>
  <c r="I252" i="3"/>
  <c r="H252" i="3"/>
  <c r="F252" i="3"/>
  <c r="E252" i="3"/>
  <c r="D252" i="3"/>
  <c r="I251" i="3"/>
  <c r="H251" i="3"/>
  <c r="F251" i="3"/>
  <c r="E251" i="3"/>
  <c r="D251" i="3"/>
  <c r="I250" i="3"/>
  <c r="H250" i="3"/>
  <c r="F250" i="3"/>
  <c r="E250" i="3"/>
  <c r="D250" i="3"/>
  <c r="I249" i="3"/>
  <c r="H249" i="3"/>
  <c r="F249" i="3"/>
  <c r="E249" i="3"/>
  <c r="D249" i="3"/>
  <c r="I248" i="3"/>
  <c r="H248" i="3"/>
  <c r="F248" i="3"/>
  <c r="E248" i="3"/>
  <c r="D248" i="3"/>
  <c r="I247" i="3"/>
  <c r="H247" i="3"/>
  <c r="F247" i="3"/>
  <c r="E247" i="3"/>
  <c r="D247" i="3"/>
  <c r="I246" i="3"/>
  <c r="H246" i="3"/>
  <c r="F246" i="3"/>
  <c r="E246" i="3"/>
  <c r="D246" i="3"/>
  <c r="I245" i="3"/>
  <c r="H245" i="3"/>
  <c r="F245" i="3"/>
  <c r="E245" i="3"/>
  <c r="D245" i="3"/>
  <c r="I244" i="3"/>
  <c r="H244" i="3"/>
  <c r="F244" i="3"/>
  <c r="E244" i="3"/>
  <c r="D244" i="3"/>
  <c r="I243" i="3"/>
  <c r="H243" i="3"/>
  <c r="F243" i="3"/>
  <c r="E243" i="3"/>
  <c r="D243" i="3"/>
  <c r="I242" i="3"/>
  <c r="H242" i="3"/>
  <c r="G242" i="3"/>
  <c r="F242" i="3"/>
  <c r="E242" i="3"/>
  <c r="D242" i="3"/>
  <c r="I241" i="3"/>
  <c r="H241" i="3"/>
  <c r="F241" i="3"/>
  <c r="E241" i="3"/>
  <c r="D241" i="3"/>
  <c r="I240" i="3"/>
  <c r="H240" i="3"/>
  <c r="F240" i="3"/>
  <c r="E240" i="3"/>
  <c r="D240" i="3"/>
  <c r="I239" i="3"/>
  <c r="H239" i="3"/>
  <c r="F239" i="3"/>
  <c r="E239" i="3"/>
  <c r="D239" i="3"/>
  <c r="I238" i="3"/>
  <c r="H238" i="3"/>
  <c r="F238" i="3"/>
  <c r="E238" i="3"/>
  <c r="D238" i="3"/>
  <c r="I237" i="3"/>
  <c r="H237" i="3"/>
  <c r="F237" i="3"/>
  <c r="E237" i="3"/>
  <c r="D237" i="3"/>
  <c r="I236" i="3"/>
  <c r="H236" i="3"/>
  <c r="F236" i="3"/>
  <c r="E236" i="3"/>
  <c r="D236" i="3"/>
  <c r="I235" i="3"/>
  <c r="H235" i="3"/>
  <c r="F235" i="3"/>
  <c r="E235" i="3"/>
  <c r="D235" i="3"/>
  <c r="I234" i="3"/>
  <c r="H234" i="3"/>
  <c r="F234" i="3"/>
  <c r="E234" i="3"/>
  <c r="D234" i="3"/>
  <c r="I233" i="3"/>
  <c r="H233" i="3"/>
  <c r="F233" i="3"/>
  <c r="E233" i="3"/>
  <c r="D233" i="3"/>
  <c r="I232" i="3"/>
  <c r="H232" i="3"/>
  <c r="F232" i="3"/>
  <c r="E232" i="3"/>
  <c r="D232" i="3"/>
  <c r="I231" i="3"/>
  <c r="H231" i="3"/>
  <c r="F231" i="3"/>
  <c r="E231" i="3"/>
  <c r="D231" i="3"/>
  <c r="I230" i="3"/>
  <c r="H230" i="3"/>
  <c r="F230" i="3"/>
  <c r="E230" i="3"/>
  <c r="D230" i="3"/>
  <c r="I229" i="3"/>
  <c r="H229" i="3"/>
  <c r="F229" i="3"/>
  <c r="E229" i="3"/>
  <c r="D229" i="3"/>
  <c r="I228" i="3"/>
  <c r="H228" i="3"/>
  <c r="F228" i="3"/>
  <c r="E228" i="3"/>
  <c r="D228" i="3"/>
  <c r="I227" i="3"/>
  <c r="H227" i="3"/>
  <c r="F227" i="3"/>
  <c r="E227" i="3"/>
  <c r="D227" i="3"/>
  <c r="I226" i="3"/>
  <c r="H226" i="3"/>
  <c r="F226" i="3"/>
  <c r="E226" i="3"/>
  <c r="D226" i="3"/>
  <c r="I214" i="3"/>
  <c r="H214" i="3"/>
  <c r="G214" i="3"/>
  <c r="F214" i="3"/>
  <c r="E214" i="3"/>
  <c r="D214" i="3"/>
  <c r="I213" i="3"/>
  <c r="H213" i="3"/>
  <c r="G213" i="3"/>
  <c r="F213" i="3"/>
  <c r="E213" i="3"/>
  <c r="D213" i="3"/>
  <c r="I212" i="3"/>
  <c r="H212" i="3"/>
  <c r="G212" i="3"/>
  <c r="F212" i="3"/>
  <c r="E212" i="3"/>
  <c r="D212" i="3"/>
  <c r="I211" i="3"/>
  <c r="H211" i="3"/>
  <c r="G211" i="3"/>
  <c r="F211" i="3"/>
  <c r="E211" i="3"/>
  <c r="D211" i="3"/>
  <c r="I210" i="3"/>
  <c r="H210" i="3"/>
  <c r="F210" i="3"/>
  <c r="E210" i="3"/>
  <c r="D210" i="3"/>
  <c r="I209" i="3"/>
  <c r="H209" i="3"/>
  <c r="G209" i="3"/>
  <c r="F209" i="3"/>
  <c r="E209" i="3"/>
  <c r="D209" i="3"/>
  <c r="I208" i="3"/>
  <c r="H208" i="3"/>
  <c r="F208" i="3"/>
  <c r="E208" i="3"/>
  <c r="D208" i="3"/>
  <c r="I207" i="3"/>
  <c r="H207" i="3"/>
  <c r="F207" i="3"/>
  <c r="E207" i="3"/>
  <c r="D207" i="3"/>
  <c r="I206" i="3"/>
  <c r="H206" i="3"/>
  <c r="F206" i="3"/>
  <c r="E206" i="3"/>
  <c r="D206" i="3"/>
  <c r="I205" i="3"/>
  <c r="H205" i="3"/>
  <c r="F205" i="3"/>
  <c r="E205" i="3"/>
  <c r="D205" i="3"/>
  <c r="I204" i="3"/>
  <c r="H204" i="3"/>
  <c r="F204" i="3"/>
  <c r="E204" i="3"/>
  <c r="D204" i="3"/>
  <c r="I203" i="3"/>
  <c r="H203" i="3"/>
  <c r="F203" i="3"/>
  <c r="E203" i="3"/>
  <c r="D203" i="3"/>
  <c r="I202" i="3"/>
  <c r="H202" i="3"/>
  <c r="F202" i="3"/>
  <c r="E202" i="3"/>
  <c r="D202" i="3"/>
  <c r="I201" i="3"/>
  <c r="H201" i="3"/>
  <c r="F201" i="3"/>
  <c r="E201" i="3"/>
  <c r="D201" i="3"/>
  <c r="I200" i="3"/>
  <c r="H200" i="3"/>
  <c r="F200" i="3"/>
  <c r="E200" i="3"/>
  <c r="D200" i="3"/>
  <c r="I199" i="3"/>
  <c r="H199" i="3"/>
  <c r="F199" i="3"/>
  <c r="E199" i="3"/>
  <c r="D199" i="3"/>
  <c r="I198" i="3"/>
  <c r="H198" i="3"/>
  <c r="F198" i="3"/>
  <c r="E198" i="3"/>
  <c r="D198" i="3"/>
  <c r="I197" i="3"/>
  <c r="H197" i="3"/>
  <c r="F197" i="3"/>
  <c r="E197" i="3"/>
  <c r="D197" i="3"/>
  <c r="I196" i="3"/>
  <c r="H196" i="3"/>
  <c r="F196" i="3"/>
  <c r="E196" i="3"/>
  <c r="D196" i="3"/>
  <c r="I195" i="3"/>
  <c r="H195" i="3"/>
  <c r="F195" i="3"/>
  <c r="E195" i="3"/>
  <c r="D195" i="3"/>
  <c r="I194" i="3"/>
  <c r="H194" i="3"/>
  <c r="F194" i="3"/>
  <c r="E194" i="3"/>
  <c r="D194" i="3"/>
  <c r="I193" i="3"/>
  <c r="H193" i="3"/>
  <c r="F193" i="3"/>
  <c r="E193" i="3"/>
  <c r="D193" i="3"/>
  <c r="I192" i="3"/>
  <c r="H192" i="3"/>
  <c r="F192" i="3"/>
  <c r="E192" i="3"/>
  <c r="D192" i="3"/>
  <c r="I191" i="3"/>
  <c r="H191" i="3"/>
  <c r="F191" i="3"/>
  <c r="E191" i="3"/>
  <c r="D191" i="3"/>
  <c r="I190" i="3"/>
  <c r="H190" i="3"/>
  <c r="F190" i="3"/>
  <c r="E190" i="3"/>
  <c r="D190" i="3"/>
  <c r="I189" i="3"/>
  <c r="H189" i="3"/>
  <c r="F189" i="3"/>
  <c r="E189" i="3"/>
  <c r="D189" i="3"/>
  <c r="I188" i="3"/>
  <c r="H188" i="3"/>
  <c r="F188" i="3"/>
  <c r="E188" i="3"/>
  <c r="D188" i="3"/>
  <c r="I187" i="3"/>
  <c r="H187" i="3"/>
  <c r="F187" i="3"/>
  <c r="E187" i="3"/>
  <c r="D187" i="3"/>
  <c r="I186" i="3"/>
  <c r="H186" i="3"/>
  <c r="F186" i="3"/>
  <c r="E186" i="3"/>
  <c r="D186" i="3"/>
  <c r="I185" i="3"/>
  <c r="H185" i="3"/>
  <c r="F185" i="3"/>
  <c r="E185" i="3"/>
  <c r="D185" i="3"/>
  <c r="I184" i="3"/>
  <c r="H184" i="3"/>
  <c r="F184" i="3"/>
  <c r="E184" i="3"/>
  <c r="D184" i="3"/>
  <c r="I183" i="3"/>
  <c r="H183" i="3"/>
  <c r="F183" i="3"/>
  <c r="E183" i="3"/>
  <c r="D183" i="3"/>
  <c r="I182" i="3"/>
  <c r="H182" i="3"/>
  <c r="F182" i="3"/>
  <c r="E182" i="3"/>
  <c r="D182" i="3"/>
  <c r="I181" i="3"/>
  <c r="H181" i="3"/>
  <c r="F181" i="3"/>
  <c r="E181" i="3"/>
  <c r="D181" i="3"/>
  <c r="I180" i="3"/>
  <c r="H180" i="3"/>
  <c r="F180" i="3"/>
  <c r="E180" i="3"/>
  <c r="D180" i="3"/>
  <c r="I179" i="3"/>
  <c r="H179" i="3"/>
  <c r="F179" i="3"/>
  <c r="E179" i="3"/>
  <c r="D179" i="3"/>
  <c r="I178" i="3"/>
  <c r="H178" i="3"/>
  <c r="F178" i="3"/>
  <c r="E178" i="3"/>
  <c r="D178" i="3"/>
  <c r="I177" i="3"/>
  <c r="H177" i="3"/>
  <c r="F177" i="3"/>
  <c r="E177" i="3"/>
  <c r="D177" i="3"/>
  <c r="I176" i="3"/>
  <c r="H176" i="3"/>
  <c r="F176" i="3"/>
  <c r="E176" i="3"/>
  <c r="D176" i="3"/>
  <c r="I175" i="3"/>
  <c r="H175" i="3"/>
  <c r="F175" i="3"/>
  <c r="E175" i="3"/>
  <c r="D175" i="3"/>
  <c r="I174" i="3"/>
  <c r="H174" i="3"/>
  <c r="F174" i="3"/>
  <c r="E174" i="3"/>
  <c r="D174" i="3"/>
  <c r="I173" i="3"/>
  <c r="H173" i="3"/>
  <c r="F173" i="3"/>
  <c r="E173" i="3"/>
  <c r="D173" i="3"/>
  <c r="I172" i="3"/>
  <c r="H172" i="3"/>
  <c r="F172" i="3"/>
  <c r="E172" i="3"/>
  <c r="D172" i="3"/>
  <c r="I171" i="3"/>
  <c r="H171" i="3"/>
  <c r="F171" i="3"/>
  <c r="E171" i="3"/>
  <c r="D171" i="3"/>
  <c r="I170" i="3"/>
  <c r="H170" i="3"/>
  <c r="F170" i="3"/>
  <c r="E170" i="3"/>
  <c r="D170" i="3"/>
  <c r="I169" i="3"/>
  <c r="H169" i="3"/>
  <c r="F169" i="3"/>
  <c r="E169" i="3"/>
  <c r="D169" i="3"/>
  <c r="I168" i="3"/>
  <c r="H168" i="3"/>
  <c r="F168" i="3"/>
  <c r="E168" i="3"/>
  <c r="D168" i="3"/>
  <c r="I167" i="3"/>
  <c r="H167" i="3"/>
  <c r="F167" i="3"/>
  <c r="E167" i="3"/>
  <c r="D167" i="3"/>
  <c r="I166" i="3"/>
  <c r="H166" i="3"/>
  <c r="F166" i="3"/>
  <c r="E166" i="3"/>
  <c r="D166" i="3"/>
  <c r="I165" i="3"/>
  <c r="H165" i="3"/>
  <c r="F165" i="3"/>
  <c r="E165" i="3"/>
  <c r="D165" i="3"/>
  <c r="I164" i="3"/>
  <c r="H164" i="3"/>
  <c r="F164" i="3"/>
  <c r="E164" i="3"/>
  <c r="D164" i="3"/>
  <c r="I163" i="3"/>
  <c r="H163" i="3"/>
  <c r="F163" i="3"/>
  <c r="E163" i="3"/>
  <c r="D163" i="3"/>
  <c r="I162" i="3"/>
  <c r="H162" i="3"/>
  <c r="F162" i="3"/>
  <c r="E162" i="3"/>
  <c r="D162" i="3"/>
  <c r="I161" i="3"/>
  <c r="H161" i="3"/>
  <c r="F161" i="3"/>
  <c r="E161" i="3"/>
  <c r="D161" i="3"/>
  <c r="I160" i="3"/>
  <c r="H160" i="3"/>
  <c r="F160" i="3"/>
  <c r="E160" i="3"/>
  <c r="D160" i="3"/>
  <c r="I159" i="3"/>
  <c r="H159" i="3"/>
  <c r="F159" i="3"/>
  <c r="E159" i="3"/>
  <c r="D159" i="3"/>
  <c r="I158" i="3"/>
  <c r="H158" i="3"/>
  <c r="F158" i="3"/>
  <c r="E158" i="3"/>
  <c r="D158" i="3"/>
  <c r="I143" i="3"/>
  <c r="H143" i="3"/>
  <c r="F143" i="3"/>
  <c r="E143" i="3"/>
  <c r="D143" i="3"/>
  <c r="G143" i="3" s="1"/>
  <c r="I142" i="3"/>
  <c r="H142" i="3"/>
  <c r="F142" i="3"/>
  <c r="E142" i="3"/>
  <c r="D142" i="3"/>
  <c r="I141" i="3"/>
  <c r="H141" i="3"/>
  <c r="F141" i="3"/>
  <c r="E141" i="3"/>
  <c r="D141" i="3"/>
  <c r="I140" i="3"/>
  <c r="H140" i="3"/>
  <c r="F140" i="3"/>
  <c r="E140" i="3"/>
  <c r="D140" i="3"/>
  <c r="I139" i="3"/>
  <c r="H139" i="3"/>
  <c r="F139" i="3"/>
  <c r="E139" i="3"/>
  <c r="D139" i="3"/>
  <c r="G139" i="3" s="1"/>
  <c r="I138" i="3"/>
  <c r="H138" i="3"/>
  <c r="F138" i="3"/>
  <c r="E138" i="3"/>
  <c r="D138" i="3"/>
  <c r="I137" i="3"/>
  <c r="H137" i="3"/>
  <c r="F137" i="3"/>
  <c r="E137" i="3"/>
  <c r="D137" i="3"/>
  <c r="I136" i="3"/>
  <c r="H136" i="3"/>
  <c r="F136" i="3"/>
  <c r="E136" i="3"/>
  <c r="D136" i="3"/>
  <c r="I135" i="3"/>
  <c r="H135" i="3"/>
  <c r="F135" i="3"/>
  <c r="E135" i="3"/>
  <c r="D135" i="3"/>
  <c r="I134" i="3"/>
  <c r="H134" i="3"/>
  <c r="F134" i="3"/>
  <c r="E134" i="3"/>
  <c r="D134" i="3"/>
  <c r="I133" i="3"/>
  <c r="H133" i="3"/>
  <c r="F133" i="3"/>
  <c r="E133" i="3"/>
  <c r="D133" i="3"/>
  <c r="I132" i="3"/>
  <c r="H132" i="3"/>
  <c r="F132" i="3"/>
  <c r="E132" i="3"/>
  <c r="D132" i="3"/>
  <c r="I131" i="3"/>
  <c r="H131" i="3"/>
  <c r="F131" i="3"/>
  <c r="E131" i="3"/>
  <c r="D131" i="3"/>
  <c r="I130" i="3"/>
  <c r="H130" i="3"/>
  <c r="F130" i="3"/>
  <c r="E130" i="3"/>
  <c r="D130" i="3"/>
  <c r="I129" i="3"/>
  <c r="H129" i="3"/>
  <c r="F129" i="3"/>
  <c r="E129" i="3"/>
  <c r="D129" i="3"/>
  <c r="I128" i="3"/>
  <c r="H128" i="3"/>
  <c r="F128" i="3"/>
  <c r="E128" i="3"/>
  <c r="D128" i="3"/>
  <c r="I127" i="3"/>
  <c r="H127" i="3"/>
  <c r="F127" i="3"/>
  <c r="E127" i="3"/>
  <c r="D127" i="3"/>
  <c r="I126" i="3"/>
  <c r="H126" i="3"/>
  <c r="F126" i="3"/>
  <c r="E126" i="3"/>
  <c r="D126" i="3"/>
  <c r="I125" i="3"/>
  <c r="H125" i="3"/>
  <c r="F125" i="3"/>
  <c r="E125" i="3"/>
  <c r="D125" i="3"/>
  <c r="I124" i="3"/>
  <c r="H124" i="3"/>
  <c r="F124" i="3"/>
  <c r="E124" i="3"/>
  <c r="D124" i="3"/>
  <c r="I123" i="3"/>
  <c r="H123" i="3"/>
  <c r="F123" i="3"/>
  <c r="E123" i="3"/>
  <c r="D123" i="3"/>
  <c r="I122" i="3"/>
  <c r="H122" i="3"/>
  <c r="F122" i="3"/>
  <c r="E122" i="3"/>
  <c r="D122" i="3"/>
  <c r="I121" i="3"/>
  <c r="H121" i="3"/>
  <c r="F121" i="3"/>
  <c r="E121" i="3"/>
  <c r="D121" i="3"/>
  <c r="I120" i="3"/>
  <c r="H120" i="3"/>
  <c r="F120" i="3"/>
  <c r="E120" i="3"/>
  <c r="D120" i="3"/>
  <c r="I119" i="3"/>
  <c r="H119" i="3"/>
  <c r="F119" i="3"/>
  <c r="E119" i="3"/>
  <c r="D119" i="3"/>
  <c r="I118" i="3"/>
  <c r="H118" i="3"/>
  <c r="F118" i="3"/>
  <c r="E118" i="3"/>
  <c r="D118" i="3"/>
  <c r="I117" i="3"/>
  <c r="H117" i="3"/>
  <c r="F117" i="3"/>
  <c r="E117" i="3"/>
  <c r="D117" i="3"/>
  <c r="I116" i="3"/>
  <c r="H116" i="3"/>
  <c r="F116" i="3"/>
  <c r="E116" i="3"/>
  <c r="D116" i="3"/>
  <c r="I115" i="3"/>
  <c r="H115" i="3"/>
  <c r="F115" i="3"/>
  <c r="E115" i="3"/>
  <c r="D115" i="3"/>
  <c r="I114" i="3"/>
  <c r="H114" i="3"/>
  <c r="F114" i="3"/>
  <c r="E114" i="3"/>
  <c r="D114" i="3"/>
  <c r="I113" i="3"/>
  <c r="H113" i="3"/>
  <c r="F113" i="3"/>
  <c r="E113" i="3"/>
  <c r="D113" i="3"/>
  <c r="I112" i="3"/>
  <c r="H112" i="3"/>
  <c r="F112" i="3"/>
  <c r="E112" i="3"/>
  <c r="D112" i="3"/>
  <c r="I111" i="3"/>
  <c r="H111" i="3"/>
  <c r="F111" i="3"/>
  <c r="E111" i="3"/>
  <c r="D111" i="3"/>
  <c r="I110" i="3"/>
  <c r="H110" i="3"/>
  <c r="F110" i="3"/>
  <c r="E110" i="3"/>
  <c r="D110" i="3"/>
  <c r="I109" i="3"/>
  <c r="H109" i="3"/>
  <c r="F109" i="3"/>
  <c r="E109" i="3"/>
  <c r="D109" i="3"/>
  <c r="I108" i="3"/>
  <c r="H108" i="3"/>
  <c r="F108" i="3"/>
  <c r="E108" i="3"/>
  <c r="D108" i="3"/>
  <c r="I107" i="3"/>
  <c r="H107" i="3"/>
  <c r="F107" i="3"/>
  <c r="E107" i="3"/>
  <c r="D107" i="3"/>
  <c r="I106" i="3"/>
  <c r="H106" i="3"/>
  <c r="F106" i="3"/>
  <c r="E106" i="3"/>
  <c r="D106" i="3"/>
  <c r="I105" i="3"/>
  <c r="H105" i="3"/>
  <c r="F105" i="3"/>
  <c r="E105" i="3"/>
  <c r="D105" i="3"/>
  <c r="I104" i="3"/>
  <c r="H104" i="3"/>
  <c r="F104" i="3"/>
  <c r="E104" i="3"/>
  <c r="D104" i="3"/>
  <c r="G104" i="3" s="1"/>
  <c r="I103" i="3"/>
  <c r="H103" i="3"/>
  <c r="F103" i="3"/>
  <c r="E103" i="3"/>
  <c r="D103" i="3"/>
  <c r="I102" i="3"/>
  <c r="H102" i="3"/>
  <c r="F102" i="3"/>
  <c r="E102" i="3"/>
  <c r="D102" i="3"/>
  <c r="G102" i="3" s="1"/>
  <c r="I101" i="3"/>
  <c r="H101" i="3"/>
  <c r="F101" i="3"/>
  <c r="E101" i="3"/>
  <c r="D101" i="3"/>
  <c r="I100" i="3"/>
  <c r="H100" i="3"/>
  <c r="F100" i="3"/>
  <c r="E100" i="3"/>
  <c r="D100" i="3"/>
  <c r="I99" i="3"/>
  <c r="H99" i="3"/>
  <c r="F99" i="3"/>
  <c r="E99" i="3"/>
  <c r="D99" i="3"/>
  <c r="I98" i="3"/>
  <c r="H98" i="3"/>
  <c r="F98" i="3"/>
  <c r="E98" i="3"/>
  <c r="D98" i="3"/>
  <c r="I97" i="3"/>
  <c r="H97" i="3"/>
  <c r="F97" i="3"/>
  <c r="E97" i="3"/>
  <c r="D97" i="3"/>
  <c r="I96" i="3"/>
  <c r="H96" i="3"/>
  <c r="F96" i="3"/>
  <c r="E96" i="3"/>
  <c r="D96" i="3"/>
  <c r="I95" i="3"/>
  <c r="H95" i="3"/>
  <c r="F95" i="3"/>
  <c r="E95" i="3"/>
  <c r="D95" i="3"/>
  <c r="I94" i="3"/>
  <c r="H94" i="3"/>
  <c r="F94" i="3"/>
  <c r="E94" i="3"/>
  <c r="D94" i="3"/>
  <c r="I93" i="3"/>
  <c r="H93" i="3"/>
  <c r="F93" i="3"/>
  <c r="E93" i="3"/>
  <c r="D93" i="3"/>
  <c r="I92" i="3"/>
  <c r="H92" i="3"/>
  <c r="F92" i="3"/>
  <c r="E92" i="3"/>
  <c r="D92" i="3"/>
  <c r="I91" i="3"/>
  <c r="H91" i="3"/>
  <c r="F91" i="3"/>
  <c r="E91" i="3"/>
  <c r="D91" i="3"/>
  <c r="I90" i="3"/>
  <c r="H90" i="3"/>
  <c r="F90" i="3"/>
  <c r="E90" i="3"/>
  <c r="D90" i="3"/>
  <c r="I89" i="3"/>
  <c r="H89" i="3"/>
  <c r="F89" i="3"/>
  <c r="E89" i="3"/>
  <c r="D89" i="3"/>
  <c r="I88" i="3"/>
  <c r="H88" i="3"/>
  <c r="F88" i="3"/>
  <c r="E88" i="3"/>
  <c r="D88" i="3"/>
  <c r="I87" i="3"/>
  <c r="H87" i="3"/>
  <c r="F87" i="3"/>
  <c r="E87" i="3"/>
  <c r="D87" i="3"/>
  <c r="I86" i="3"/>
  <c r="H86" i="3"/>
  <c r="F86" i="3"/>
  <c r="E86" i="3"/>
  <c r="D86" i="3"/>
  <c r="I85" i="3"/>
  <c r="H85" i="3"/>
  <c r="F85" i="3"/>
  <c r="E85" i="3"/>
  <c r="D85" i="3"/>
  <c r="I84" i="3"/>
  <c r="H84" i="3"/>
  <c r="F84" i="3"/>
  <c r="E84" i="3"/>
  <c r="D84" i="3"/>
  <c r="G84" i="3" s="1"/>
  <c r="I83" i="3"/>
  <c r="H83" i="3"/>
  <c r="F83" i="3"/>
  <c r="E83" i="3"/>
  <c r="D83" i="3"/>
  <c r="G83" i="3" s="1"/>
  <c r="I82" i="3"/>
  <c r="H82" i="3"/>
  <c r="F82" i="3"/>
  <c r="E82" i="3"/>
  <c r="D82" i="3"/>
  <c r="I81" i="3"/>
  <c r="H81" i="3"/>
  <c r="F81" i="3"/>
  <c r="E81" i="3"/>
  <c r="D81" i="3"/>
  <c r="I80" i="3"/>
  <c r="H80" i="3"/>
  <c r="F80" i="3"/>
  <c r="E80" i="3"/>
  <c r="D80" i="3"/>
  <c r="I79" i="3"/>
  <c r="H79" i="3"/>
  <c r="F79" i="3"/>
  <c r="E79" i="3"/>
  <c r="D79" i="3"/>
  <c r="D6" i="3"/>
  <c r="E6" i="3"/>
  <c r="F6" i="3"/>
  <c r="H6" i="3"/>
  <c r="I6" i="3"/>
  <c r="D7" i="3"/>
  <c r="E7" i="3"/>
  <c r="F7" i="3"/>
  <c r="H7" i="3"/>
  <c r="I7" i="3"/>
  <c r="D8" i="3"/>
  <c r="E8" i="3"/>
  <c r="F8" i="3"/>
  <c r="H8" i="3"/>
  <c r="I8" i="3"/>
  <c r="D9" i="3"/>
  <c r="E9" i="3"/>
  <c r="F9" i="3"/>
  <c r="H9" i="3"/>
  <c r="I9" i="3"/>
  <c r="D10" i="3"/>
  <c r="E10" i="3"/>
  <c r="F10" i="3"/>
  <c r="H10" i="3"/>
  <c r="I10" i="3"/>
  <c r="D11" i="3"/>
  <c r="E11" i="3"/>
  <c r="F11" i="3"/>
  <c r="H11" i="3"/>
  <c r="I11" i="3"/>
  <c r="D12" i="3"/>
  <c r="E12" i="3"/>
  <c r="F12" i="3"/>
  <c r="H12" i="3"/>
  <c r="I12" i="3"/>
  <c r="D13" i="3"/>
  <c r="E13" i="3"/>
  <c r="F13" i="3"/>
  <c r="H13" i="3"/>
  <c r="I13" i="3"/>
  <c r="D14" i="3"/>
  <c r="E14" i="3"/>
  <c r="F14" i="3"/>
  <c r="H14" i="3"/>
  <c r="I14" i="3"/>
  <c r="D15" i="3"/>
  <c r="E15" i="3"/>
  <c r="F15" i="3"/>
  <c r="H15" i="3"/>
  <c r="I15" i="3"/>
  <c r="D16" i="3"/>
  <c r="E16" i="3"/>
  <c r="F16" i="3"/>
  <c r="H16" i="3"/>
  <c r="I16" i="3"/>
  <c r="D17" i="3"/>
  <c r="E17" i="3"/>
  <c r="F17" i="3"/>
  <c r="H17" i="3"/>
  <c r="I17" i="3"/>
  <c r="D18" i="3"/>
  <c r="E18" i="3"/>
  <c r="F18" i="3"/>
  <c r="H18" i="3"/>
  <c r="I18" i="3"/>
  <c r="D19" i="3"/>
  <c r="E19" i="3"/>
  <c r="F19" i="3"/>
  <c r="H19" i="3"/>
  <c r="I19" i="3"/>
  <c r="D20" i="3"/>
  <c r="E20" i="3"/>
  <c r="F20" i="3"/>
  <c r="H20" i="3"/>
  <c r="I20" i="3"/>
  <c r="D21" i="3"/>
  <c r="E21" i="3"/>
  <c r="F21" i="3"/>
  <c r="H21" i="3"/>
  <c r="I21" i="3"/>
  <c r="D22" i="3"/>
  <c r="E22" i="3"/>
  <c r="F22" i="3"/>
  <c r="H22" i="3"/>
  <c r="I22" i="3"/>
  <c r="D23" i="3"/>
  <c r="E23" i="3"/>
  <c r="F23" i="3"/>
  <c r="H23" i="3"/>
  <c r="I23" i="3"/>
  <c r="D24" i="3"/>
  <c r="E24" i="3"/>
  <c r="F24" i="3"/>
  <c r="H24" i="3"/>
  <c r="I24" i="3"/>
  <c r="D25" i="3"/>
  <c r="E25" i="3"/>
  <c r="F25" i="3"/>
  <c r="H25" i="3"/>
  <c r="I25" i="3"/>
  <c r="D26" i="3"/>
  <c r="E26" i="3"/>
  <c r="F26" i="3"/>
  <c r="H26" i="3"/>
  <c r="I26" i="3"/>
  <c r="D27" i="3"/>
  <c r="E27" i="3"/>
  <c r="F27" i="3"/>
  <c r="H27" i="3"/>
  <c r="I27" i="3"/>
  <c r="D28" i="3"/>
  <c r="E28" i="3"/>
  <c r="F28" i="3"/>
  <c r="H28" i="3"/>
  <c r="I28" i="3"/>
  <c r="D29" i="3"/>
  <c r="E29" i="3"/>
  <c r="F29" i="3"/>
  <c r="H29" i="3"/>
  <c r="I29" i="3"/>
  <c r="D30" i="3"/>
  <c r="E30" i="3"/>
  <c r="F30" i="3"/>
  <c r="H30" i="3"/>
  <c r="I30" i="3"/>
  <c r="D31" i="3"/>
  <c r="E31" i="3"/>
  <c r="F31" i="3"/>
  <c r="H31" i="3"/>
  <c r="I31" i="3"/>
  <c r="D32" i="3"/>
  <c r="E32" i="3"/>
  <c r="F32" i="3"/>
  <c r="H32" i="3"/>
  <c r="I32" i="3"/>
  <c r="D33" i="3"/>
  <c r="E33" i="3"/>
  <c r="F33" i="3"/>
  <c r="H33" i="3"/>
  <c r="I33" i="3"/>
  <c r="D34" i="3"/>
  <c r="E34" i="3"/>
  <c r="F34" i="3"/>
  <c r="H34" i="3"/>
  <c r="I34" i="3"/>
  <c r="D35" i="3"/>
  <c r="E35" i="3"/>
  <c r="F35" i="3"/>
  <c r="H35" i="3"/>
  <c r="I35" i="3"/>
  <c r="D36" i="3"/>
  <c r="E36" i="3"/>
  <c r="F36" i="3"/>
  <c r="H36" i="3"/>
  <c r="I36" i="3"/>
  <c r="D37" i="3"/>
  <c r="E37" i="3"/>
  <c r="F37" i="3"/>
  <c r="H37" i="3"/>
  <c r="I37" i="3"/>
  <c r="D38" i="3"/>
  <c r="E38" i="3"/>
  <c r="F38" i="3"/>
  <c r="H38" i="3"/>
  <c r="I38" i="3"/>
  <c r="D39" i="3"/>
  <c r="E39" i="3"/>
  <c r="F39" i="3"/>
  <c r="H39" i="3"/>
  <c r="I39" i="3"/>
  <c r="D40" i="3"/>
  <c r="E40" i="3"/>
  <c r="F40" i="3"/>
  <c r="H40" i="3"/>
  <c r="I40" i="3"/>
  <c r="D41" i="3"/>
  <c r="E41" i="3"/>
  <c r="F41" i="3"/>
  <c r="H41" i="3"/>
  <c r="I41" i="3"/>
  <c r="D42" i="3"/>
  <c r="E42" i="3"/>
  <c r="F42" i="3"/>
  <c r="H42" i="3"/>
  <c r="I42" i="3"/>
  <c r="D43" i="3"/>
  <c r="E43" i="3"/>
  <c r="F43" i="3"/>
  <c r="H43" i="3"/>
  <c r="I43" i="3"/>
  <c r="D44" i="3"/>
  <c r="E44" i="3"/>
  <c r="F44" i="3"/>
  <c r="H44" i="3"/>
  <c r="I44" i="3"/>
  <c r="D45" i="3"/>
  <c r="E45" i="3"/>
  <c r="F45" i="3"/>
  <c r="H45" i="3"/>
  <c r="I45" i="3"/>
  <c r="D46" i="3"/>
  <c r="E46" i="3"/>
  <c r="F46" i="3"/>
  <c r="H46" i="3"/>
  <c r="I46" i="3"/>
  <c r="D47" i="3"/>
  <c r="E47" i="3"/>
  <c r="F47" i="3"/>
  <c r="H47" i="3"/>
  <c r="I47" i="3"/>
  <c r="D48" i="3"/>
  <c r="E48" i="3"/>
  <c r="F48" i="3"/>
  <c r="H48" i="3"/>
  <c r="I48" i="3"/>
  <c r="D49" i="3"/>
  <c r="E49" i="3"/>
  <c r="F49" i="3"/>
  <c r="H49" i="3"/>
  <c r="I49" i="3"/>
  <c r="D50" i="3"/>
  <c r="E50" i="3"/>
  <c r="F50" i="3"/>
  <c r="H50" i="3"/>
  <c r="I50" i="3"/>
  <c r="D51" i="3"/>
  <c r="E51" i="3"/>
  <c r="F51" i="3"/>
  <c r="H51" i="3"/>
  <c r="I51" i="3"/>
  <c r="D52" i="3"/>
  <c r="E52" i="3"/>
  <c r="F52" i="3"/>
  <c r="H52" i="3"/>
  <c r="I52" i="3"/>
  <c r="D53" i="3"/>
  <c r="E53" i="3"/>
  <c r="F53" i="3"/>
  <c r="H53" i="3"/>
  <c r="I53" i="3"/>
  <c r="D54" i="3"/>
  <c r="E54" i="3"/>
  <c r="F54" i="3"/>
  <c r="H54" i="3"/>
  <c r="I54" i="3"/>
  <c r="D55" i="3"/>
  <c r="E55" i="3"/>
  <c r="F55" i="3"/>
  <c r="H55" i="3"/>
  <c r="I55" i="3"/>
  <c r="D56" i="3"/>
  <c r="E56" i="3"/>
  <c r="F56" i="3"/>
  <c r="H56" i="3"/>
  <c r="I56" i="3"/>
  <c r="D57" i="3"/>
  <c r="E57" i="3"/>
  <c r="F57" i="3"/>
  <c r="H57" i="3"/>
  <c r="I57" i="3"/>
  <c r="D58" i="3"/>
  <c r="E58" i="3"/>
  <c r="F58" i="3"/>
  <c r="H58" i="3"/>
  <c r="I58" i="3"/>
  <c r="D59" i="3"/>
  <c r="E59" i="3"/>
  <c r="F59" i="3"/>
  <c r="H59" i="3"/>
  <c r="I59" i="3"/>
  <c r="D60" i="3"/>
  <c r="E60" i="3"/>
  <c r="F60" i="3"/>
  <c r="H60" i="3"/>
  <c r="I60" i="3"/>
  <c r="D61" i="3"/>
  <c r="E61" i="3"/>
  <c r="F61" i="3"/>
  <c r="H61" i="3"/>
  <c r="I61" i="3"/>
  <c r="D62" i="3"/>
  <c r="E62" i="3"/>
  <c r="F62" i="3"/>
  <c r="H62" i="3"/>
  <c r="I62" i="3"/>
  <c r="D63" i="3"/>
  <c r="E63" i="3"/>
  <c r="F63" i="3"/>
  <c r="H63" i="3"/>
  <c r="I63" i="3"/>
  <c r="D64" i="3"/>
  <c r="E64" i="3"/>
  <c r="F64" i="3"/>
  <c r="H64" i="3"/>
  <c r="I64" i="3"/>
  <c r="D65" i="3"/>
  <c r="E65" i="3"/>
  <c r="F65" i="3"/>
  <c r="H65" i="3"/>
  <c r="I65" i="3"/>
  <c r="D66" i="3"/>
  <c r="E66" i="3"/>
  <c r="F66" i="3"/>
  <c r="H66" i="3"/>
  <c r="I66" i="3"/>
  <c r="D67" i="3"/>
  <c r="E67" i="3"/>
  <c r="F67" i="3"/>
  <c r="G67" i="3"/>
  <c r="H67" i="3"/>
  <c r="I67" i="3"/>
  <c r="D68" i="3"/>
  <c r="E68" i="3"/>
  <c r="F68" i="3"/>
  <c r="G68" i="3"/>
  <c r="H68" i="3"/>
  <c r="I68" i="3"/>
  <c r="D69" i="3"/>
  <c r="E69" i="3"/>
  <c r="F69" i="3"/>
  <c r="G69" i="3"/>
  <c r="H69" i="3"/>
  <c r="I69" i="3"/>
  <c r="D70" i="3"/>
  <c r="E70" i="3"/>
  <c r="F70" i="3"/>
  <c r="G70" i="3"/>
  <c r="H70" i="3"/>
  <c r="I70" i="3"/>
  <c r="D71" i="3"/>
  <c r="E71" i="3"/>
  <c r="F71" i="3"/>
  <c r="G71" i="3"/>
  <c r="H71" i="3"/>
  <c r="I71" i="3"/>
  <c r="D72" i="3"/>
  <c r="E72" i="3"/>
  <c r="F72" i="3"/>
  <c r="G72" i="3"/>
  <c r="H72" i="3"/>
  <c r="I72" i="3"/>
  <c r="C193" i="15" l="1"/>
  <c r="D193" i="15" s="1"/>
  <c r="C192" i="15"/>
  <c r="C191" i="15"/>
  <c r="C190" i="15"/>
  <c r="C189" i="15"/>
  <c r="C188" i="15"/>
  <c r="C187" i="15"/>
  <c r="C186" i="15"/>
  <c r="C185" i="15"/>
  <c r="C184" i="15"/>
  <c r="C180" i="15"/>
  <c r="D180" i="15" s="1"/>
  <c r="C179" i="15"/>
  <c r="C178" i="15"/>
  <c r="C177" i="15"/>
  <c r="C176" i="15"/>
  <c r="C175" i="15"/>
  <c r="C174" i="15"/>
  <c r="C173" i="15"/>
  <c r="C172" i="15"/>
  <c r="C171" i="15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M9" i="2"/>
  <c r="M8" i="2"/>
  <c r="M7" i="2"/>
  <c r="M6" i="2" l="1"/>
  <c r="B37" i="2" l="1"/>
  <c r="C37" i="2"/>
  <c r="B38" i="2"/>
  <c r="C38" i="2"/>
  <c r="B39" i="2"/>
  <c r="C39" i="2"/>
  <c r="C40" i="2"/>
  <c r="B41" i="2"/>
  <c r="C41" i="2"/>
  <c r="B42" i="2"/>
  <c r="C42" i="2"/>
  <c r="B43" i="2"/>
  <c r="C43" i="2"/>
  <c r="B44" i="2"/>
  <c r="C44" i="2"/>
  <c r="B45" i="2"/>
  <c r="C45" i="2"/>
  <c r="B46" i="2"/>
  <c r="C46" i="2"/>
  <c r="B47" i="2"/>
  <c r="C47" i="2"/>
  <c r="B48" i="2"/>
  <c r="C48" i="2"/>
  <c r="B49" i="2"/>
  <c r="C49" i="2"/>
  <c r="B50" i="2"/>
  <c r="C50" i="2"/>
  <c r="B51" i="2"/>
  <c r="C51" i="2"/>
  <c r="B52" i="2"/>
  <c r="C52" i="2"/>
  <c r="B53" i="2"/>
  <c r="C53" i="2"/>
  <c r="B54" i="2"/>
  <c r="C54" i="2"/>
  <c r="B55" i="2"/>
  <c r="C55" i="2"/>
  <c r="B56" i="2"/>
  <c r="C56" i="2"/>
  <c r="B57" i="2"/>
  <c r="C57" i="2"/>
  <c r="B58" i="2"/>
  <c r="C58" i="2"/>
  <c r="B59" i="2"/>
  <c r="C59" i="2"/>
  <c r="B60" i="2"/>
  <c r="C60" i="2"/>
  <c r="B61" i="2"/>
  <c r="C61" i="2"/>
  <c r="B62" i="2"/>
  <c r="C62" i="2"/>
  <c r="B63" i="2"/>
  <c r="C63" i="2"/>
  <c r="B64" i="2"/>
  <c r="C64" i="2"/>
  <c r="B65" i="2"/>
  <c r="C65" i="2"/>
  <c r="B66" i="2"/>
  <c r="C66" i="2"/>
  <c r="B67" i="2"/>
  <c r="C67" i="2"/>
  <c r="B68" i="2"/>
  <c r="C68" i="2"/>
  <c r="B69" i="2"/>
  <c r="C69" i="2"/>
  <c r="B70" i="2"/>
  <c r="C70" i="2"/>
  <c r="B71" i="2"/>
  <c r="C71" i="2"/>
  <c r="B72" i="2"/>
  <c r="C72" i="2"/>
  <c r="B73" i="2"/>
  <c r="C73" i="2"/>
  <c r="B74" i="2"/>
  <c r="C74" i="2"/>
  <c r="B75" i="2"/>
  <c r="C75" i="2"/>
  <c r="B76" i="2"/>
  <c r="C76" i="2"/>
  <c r="I569" i="3" l="1"/>
  <c r="H569" i="3"/>
  <c r="G569" i="3"/>
  <c r="F569" i="3"/>
  <c r="E569" i="3"/>
  <c r="D569" i="3"/>
  <c r="I568" i="3"/>
  <c r="H568" i="3"/>
  <c r="G568" i="3"/>
  <c r="F568" i="3"/>
  <c r="E568" i="3"/>
  <c r="D568" i="3"/>
  <c r="I518" i="3"/>
  <c r="H518" i="3"/>
  <c r="F518" i="3"/>
  <c r="E518" i="3"/>
  <c r="D518" i="3"/>
  <c r="I517" i="3"/>
  <c r="H517" i="3"/>
  <c r="F517" i="3"/>
  <c r="E517" i="3"/>
  <c r="D517" i="3"/>
  <c r="I516" i="3"/>
  <c r="H516" i="3"/>
  <c r="F516" i="3"/>
  <c r="E516" i="3"/>
  <c r="D516" i="3"/>
  <c r="I515" i="3"/>
  <c r="H515" i="3"/>
  <c r="F515" i="3"/>
  <c r="E515" i="3"/>
  <c r="D515" i="3"/>
  <c r="I514" i="3"/>
  <c r="H514" i="3"/>
  <c r="F514" i="3"/>
  <c r="E514" i="3"/>
  <c r="D514" i="3"/>
  <c r="I513" i="3"/>
  <c r="H513" i="3"/>
  <c r="F513" i="3"/>
  <c r="E513" i="3"/>
  <c r="D513" i="3"/>
  <c r="I512" i="3"/>
  <c r="H512" i="3"/>
  <c r="F512" i="3"/>
  <c r="E512" i="3"/>
  <c r="D512" i="3"/>
  <c r="I511" i="3"/>
  <c r="H511" i="3"/>
  <c r="F511" i="3"/>
  <c r="E511" i="3"/>
  <c r="D511" i="3"/>
  <c r="I510" i="3"/>
  <c r="H510" i="3"/>
  <c r="F510" i="3"/>
  <c r="E510" i="3"/>
  <c r="D510" i="3"/>
  <c r="I509" i="3"/>
  <c r="H509" i="3"/>
  <c r="F509" i="3"/>
  <c r="E509" i="3"/>
  <c r="D509" i="3"/>
  <c r="I508" i="3"/>
  <c r="H508" i="3"/>
  <c r="F508" i="3"/>
  <c r="E508" i="3"/>
  <c r="D508" i="3"/>
  <c r="I507" i="3"/>
  <c r="H507" i="3"/>
  <c r="F507" i="3"/>
  <c r="E507" i="3"/>
  <c r="D507" i="3"/>
  <c r="I506" i="3"/>
  <c r="H506" i="3"/>
  <c r="F506" i="3"/>
  <c r="E506" i="3"/>
  <c r="D506" i="3"/>
  <c r="I505" i="3"/>
  <c r="H505" i="3"/>
  <c r="F505" i="3"/>
  <c r="E505" i="3"/>
  <c r="D505" i="3"/>
  <c r="I504" i="3"/>
  <c r="H504" i="3"/>
  <c r="F504" i="3"/>
  <c r="E504" i="3"/>
  <c r="D504" i="3"/>
  <c r="I503" i="3"/>
  <c r="H503" i="3"/>
  <c r="F503" i="3"/>
  <c r="E503" i="3"/>
  <c r="D503" i="3"/>
  <c r="I502" i="3"/>
  <c r="H502" i="3"/>
  <c r="F502" i="3"/>
  <c r="E502" i="3"/>
  <c r="D502" i="3"/>
  <c r="I501" i="3"/>
  <c r="H501" i="3"/>
  <c r="F501" i="3"/>
  <c r="E501" i="3"/>
  <c r="D501" i="3"/>
  <c r="C501" i="3"/>
  <c r="C502" i="3" s="1"/>
  <c r="C503" i="3" s="1"/>
  <c r="C504" i="3" s="1"/>
  <c r="C505" i="3" s="1"/>
  <c r="C506" i="3" s="1"/>
  <c r="C507" i="3" s="1"/>
  <c r="C508" i="3" s="1"/>
  <c r="C509" i="3" s="1"/>
  <c r="C510" i="3" s="1"/>
  <c r="C511" i="3" s="1"/>
  <c r="C512" i="3" s="1"/>
  <c r="C513" i="3" s="1"/>
  <c r="C514" i="3" s="1"/>
  <c r="C515" i="3" s="1"/>
  <c r="C516" i="3" s="1"/>
  <c r="C517" i="3" s="1"/>
  <c r="C518" i="3" s="1"/>
  <c r="B501" i="3"/>
  <c r="B502" i="3" s="1"/>
  <c r="I500" i="3"/>
  <c r="H500" i="3"/>
  <c r="F500" i="3"/>
  <c r="E500" i="3"/>
  <c r="D500" i="3"/>
  <c r="A500" i="3"/>
  <c r="G499" i="3"/>
  <c r="I498" i="3"/>
  <c r="H498" i="3"/>
  <c r="F498" i="3"/>
  <c r="E498" i="3"/>
  <c r="D498" i="3"/>
  <c r="G498" i="3" s="1"/>
  <c r="I497" i="3"/>
  <c r="H497" i="3"/>
  <c r="G497" i="3"/>
  <c r="F497" i="3"/>
  <c r="E497" i="3"/>
  <c r="D497" i="3"/>
  <c r="I496" i="3"/>
  <c r="H496" i="3"/>
  <c r="G496" i="3"/>
  <c r="F496" i="3"/>
  <c r="E496" i="3"/>
  <c r="D496" i="3"/>
  <c r="I495" i="3"/>
  <c r="H495" i="3"/>
  <c r="F495" i="3"/>
  <c r="E495" i="3"/>
  <c r="D495" i="3"/>
  <c r="G495" i="3" s="1"/>
  <c r="I439" i="3"/>
  <c r="H439" i="3"/>
  <c r="F439" i="3"/>
  <c r="E439" i="3"/>
  <c r="D439" i="3"/>
  <c r="I438" i="3"/>
  <c r="H438" i="3"/>
  <c r="F438" i="3"/>
  <c r="E438" i="3"/>
  <c r="D438" i="3"/>
  <c r="I437" i="3"/>
  <c r="H437" i="3"/>
  <c r="F437" i="3"/>
  <c r="E437" i="3"/>
  <c r="D437" i="3"/>
  <c r="I436" i="3"/>
  <c r="H436" i="3"/>
  <c r="F436" i="3"/>
  <c r="E436" i="3"/>
  <c r="D436" i="3"/>
  <c r="I435" i="3"/>
  <c r="H435" i="3"/>
  <c r="F435" i="3"/>
  <c r="E435" i="3"/>
  <c r="D435" i="3"/>
  <c r="I434" i="3"/>
  <c r="H434" i="3"/>
  <c r="F434" i="3"/>
  <c r="E434" i="3"/>
  <c r="D434" i="3"/>
  <c r="I433" i="3"/>
  <c r="H433" i="3"/>
  <c r="F433" i="3"/>
  <c r="E433" i="3"/>
  <c r="D433" i="3"/>
  <c r="I432" i="3"/>
  <c r="H432" i="3"/>
  <c r="F432" i="3"/>
  <c r="E432" i="3"/>
  <c r="D432" i="3"/>
  <c r="I431" i="3"/>
  <c r="H431" i="3"/>
  <c r="F431" i="3"/>
  <c r="E431" i="3"/>
  <c r="D431" i="3"/>
  <c r="I430" i="3"/>
  <c r="H430" i="3"/>
  <c r="F430" i="3"/>
  <c r="E430" i="3"/>
  <c r="D430" i="3"/>
  <c r="C430" i="3"/>
  <c r="C431" i="3" s="1"/>
  <c r="C432" i="3" s="1"/>
  <c r="C433" i="3" s="1"/>
  <c r="C434" i="3" s="1"/>
  <c r="C435" i="3" s="1"/>
  <c r="C436" i="3" s="1"/>
  <c r="C437" i="3" s="1"/>
  <c r="C438" i="3" s="1"/>
  <c r="C439" i="3" s="1"/>
  <c r="B430" i="3"/>
  <c r="B431" i="3" s="1"/>
  <c r="I429" i="3"/>
  <c r="H429" i="3"/>
  <c r="F429" i="3"/>
  <c r="E429" i="3"/>
  <c r="D429" i="3"/>
  <c r="A429" i="3"/>
  <c r="F427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E427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B2" i="20"/>
  <c r="G428" i="3"/>
  <c r="I427" i="3"/>
  <c r="H427" i="3"/>
  <c r="G427" i="3"/>
  <c r="D427" i="3"/>
  <c r="I374" i="3"/>
  <c r="H374" i="3"/>
  <c r="D374" i="3"/>
  <c r="I373" i="3"/>
  <c r="H373" i="3"/>
  <c r="D373" i="3"/>
  <c r="I372" i="3"/>
  <c r="H372" i="3"/>
  <c r="D372" i="3"/>
  <c r="I371" i="3"/>
  <c r="H371" i="3"/>
  <c r="D371" i="3"/>
  <c r="I370" i="3"/>
  <c r="H370" i="3"/>
  <c r="D370" i="3"/>
  <c r="I369" i="3"/>
  <c r="H369" i="3"/>
  <c r="D369" i="3"/>
  <c r="I368" i="3"/>
  <c r="H368" i="3"/>
  <c r="D368" i="3"/>
  <c r="I367" i="3"/>
  <c r="H367" i="3"/>
  <c r="D367" i="3"/>
  <c r="I366" i="3"/>
  <c r="H366" i="3"/>
  <c r="D366" i="3"/>
  <c r="I365" i="3"/>
  <c r="H365" i="3"/>
  <c r="D365" i="3"/>
  <c r="I364" i="3"/>
  <c r="H364" i="3"/>
  <c r="D364" i="3"/>
  <c r="I363" i="3"/>
  <c r="H363" i="3"/>
  <c r="D363" i="3"/>
  <c r="I362" i="3"/>
  <c r="H362" i="3"/>
  <c r="D362" i="3"/>
  <c r="I361" i="3"/>
  <c r="H361" i="3"/>
  <c r="D361" i="3"/>
  <c r="I360" i="3"/>
  <c r="H360" i="3"/>
  <c r="D360" i="3"/>
  <c r="I359" i="3"/>
  <c r="H359" i="3"/>
  <c r="D359" i="3"/>
  <c r="C359" i="3"/>
  <c r="C360" i="3" s="1"/>
  <c r="C361" i="3" s="1"/>
  <c r="C362" i="3" s="1"/>
  <c r="C363" i="3" s="1"/>
  <c r="C364" i="3" s="1"/>
  <c r="C365" i="3" s="1"/>
  <c r="C366" i="3" s="1"/>
  <c r="C367" i="3" s="1"/>
  <c r="C368" i="3" s="1"/>
  <c r="C369" i="3" s="1"/>
  <c r="C370" i="3" s="1"/>
  <c r="C371" i="3" s="1"/>
  <c r="C372" i="3" s="1"/>
  <c r="C373" i="3" s="1"/>
  <c r="C374" i="3" s="1"/>
  <c r="C375" i="3" s="1"/>
  <c r="C376" i="3" s="1"/>
  <c r="C377" i="3" s="1"/>
  <c r="C378" i="3" s="1"/>
  <c r="C379" i="3" s="1"/>
  <c r="C380" i="3" s="1"/>
  <c r="C381" i="3" s="1"/>
  <c r="C382" i="3" s="1"/>
  <c r="C383" i="3" s="1"/>
  <c r="C384" i="3" s="1"/>
  <c r="C385" i="3" s="1"/>
  <c r="C386" i="3" s="1"/>
  <c r="C387" i="3" s="1"/>
  <c r="C388" i="3" s="1"/>
  <c r="C389" i="3" s="1"/>
  <c r="C390" i="3" s="1"/>
  <c r="C391" i="3" s="1"/>
  <c r="C392" i="3" s="1"/>
  <c r="C393" i="3" s="1"/>
  <c r="C394" i="3" s="1"/>
  <c r="C395" i="3" s="1"/>
  <c r="C396" i="3" s="1"/>
  <c r="B359" i="3"/>
  <c r="B360" i="3" s="1"/>
  <c r="I358" i="3"/>
  <c r="H358" i="3"/>
  <c r="D358" i="3"/>
  <c r="A358" i="3"/>
  <c r="G357" i="3"/>
  <c r="I301" i="3"/>
  <c r="H301" i="3"/>
  <c r="D301" i="3"/>
  <c r="I300" i="3"/>
  <c r="H300" i="3"/>
  <c r="D300" i="3"/>
  <c r="I299" i="3"/>
  <c r="H299" i="3"/>
  <c r="D299" i="3"/>
  <c r="I298" i="3"/>
  <c r="H298" i="3"/>
  <c r="D298" i="3"/>
  <c r="I297" i="3"/>
  <c r="H297" i="3"/>
  <c r="D297" i="3"/>
  <c r="I296" i="3"/>
  <c r="H296" i="3"/>
  <c r="D296" i="3"/>
  <c r="I295" i="3"/>
  <c r="H295" i="3"/>
  <c r="D295" i="3"/>
  <c r="I294" i="3"/>
  <c r="H294" i="3"/>
  <c r="D294" i="3"/>
  <c r="I293" i="3"/>
  <c r="H293" i="3"/>
  <c r="D293" i="3"/>
  <c r="I292" i="3"/>
  <c r="H292" i="3"/>
  <c r="D292" i="3"/>
  <c r="I291" i="3"/>
  <c r="H291" i="3"/>
  <c r="D291" i="3"/>
  <c r="I290" i="3"/>
  <c r="H290" i="3"/>
  <c r="D290" i="3"/>
  <c r="I289" i="3"/>
  <c r="H289" i="3"/>
  <c r="D289" i="3"/>
  <c r="I288" i="3"/>
  <c r="H288" i="3"/>
  <c r="D288" i="3"/>
  <c r="C288" i="3"/>
  <c r="B288" i="3"/>
  <c r="B289" i="3" s="1"/>
  <c r="B290" i="3" s="1"/>
  <c r="I287" i="3"/>
  <c r="H287" i="3"/>
  <c r="D287" i="3"/>
  <c r="A287" i="3"/>
  <c r="G286" i="3"/>
  <c r="C519" i="3" l="1"/>
  <c r="C520" i="3" s="1"/>
  <c r="C521" i="3" s="1"/>
  <c r="C522" i="3" s="1"/>
  <c r="C523" i="3" s="1"/>
  <c r="C524" i="3" s="1"/>
  <c r="C525" i="3" s="1"/>
  <c r="C526" i="3" s="1"/>
  <c r="C527" i="3" s="1"/>
  <c r="C528" i="3" s="1"/>
  <c r="C529" i="3" s="1"/>
  <c r="C530" i="3" s="1"/>
  <c r="C531" i="3" s="1"/>
  <c r="C532" i="3" s="1"/>
  <c r="C533" i="3" s="1"/>
  <c r="C534" i="3" s="1"/>
  <c r="C535" i="3" s="1"/>
  <c r="C536" i="3" s="1"/>
  <c r="C537" i="3" s="1"/>
  <c r="C538" i="3" s="1"/>
  <c r="C539" i="3" s="1"/>
  <c r="C540" i="3" s="1"/>
  <c r="C541" i="3" s="1"/>
  <c r="C542" i="3" s="1"/>
  <c r="C543" i="3" s="1"/>
  <c r="C544" i="3" s="1"/>
  <c r="C545" i="3" s="1"/>
  <c r="C546" i="3" s="1"/>
  <c r="C547" i="3" s="1"/>
  <c r="C548" i="3" s="1"/>
  <c r="C549" i="3" s="1"/>
  <c r="C550" i="3" s="1"/>
  <c r="C551" i="3" s="1"/>
  <c r="C552" i="3" s="1"/>
  <c r="C553" i="3" s="1"/>
  <c r="C554" i="3" s="1"/>
  <c r="C555" i="3" s="1"/>
  <c r="C556" i="3" s="1"/>
  <c r="C557" i="3" s="1"/>
  <c r="C558" i="3" s="1"/>
  <c r="C559" i="3" s="1"/>
  <c r="C560" i="3" s="1"/>
  <c r="C561" i="3" s="1"/>
  <c r="C562" i="3" s="1"/>
  <c r="C563" i="3" s="1"/>
  <c r="C564" i="3" s="1"/>
  <c r="C565" i="3" s="1"/>
  <c r="C566" i="3" s="1"/>
  <c r="C567" i="3" s="1"/>
  <c r="C568" i="3" s="1"/>
  <c r="C569" i="3" s="1"/>
  <c r="C440" i="3"/>
  <c r="C441" i="3" s="1"/>
  <c r="C442" i="3" s="1"/>
  <c r="C443" i="3" s="1"/>
  <c r="C444" i="3" s="1"/>
  <c r="C445" i="3" s="1"/>
  <c r="C446" i="3" s="1"/>
  <c r="C447" i="3" s="1"/>
  <c r="C448" i="3" s="1"/>
  <c r="C449" i="3" s="1"/>
  <c r="C450" i="3" s="1"/>
  <c r="C451" i="3" s="1"/>
  <c r="C452" i="3" s="1"/>
  <c r="C453" i="3" s="1"/>
  <c r="C454" i="3" s="1"/>
  <c r="C455" i="3" s="1"/>
  <c r="C456" i="3" s="1"/>
  <c r="C457" i="3" s="1"/>
  <c r="C458" i="3" s="1"/>
  <c r="C459" i="3" s="1"/>
  <c r="C460" i="3" s="1"/>
  <c r="C461" i="3" s="1"/>
  <c r="C462" i="3" s="1"/>
  <c r="C463" i="3" s="1"/>
  <c r="C464" i="3" s="1"/>
  <c r="C465" i="3" s="1"/>
  <c r="C466" i="3" s="1"/>
  <c r="C467" i="3" s="1"/>
  <c r="C468" i="3" s="1"/>
  <c r="C469" i="3" s="1"/>
  <c r="C470" i="3" s="1"/>
  <c r="C471" i="3" s="1"/>
  <c r="C472" i="3" s="1"/>
  <c r="C473" i="3" s="1"/>
  <c r="C474" i="3" s="1"/>
  <c r="C475" i="3" s="1"/>
  <c r="C476" i="3" s="1"/>
  <c r="C477" i="3" s="1"/>
  <c r="C478" i="3" s="1"/>
  <c r="C479" i="3" s="1"/>
  <c r="C480" i="3" s="1"/>
  <c r="C481" i="3" s="1"/>
  <c r="C482" i="3" s="1"/>
  <c r="C483" i="3" s="1"/>
  <c r="C484" i="3" s="1"/>
  <c r="C485" i="3" s="1"/>
  <c r="C486" i="3" s="1"/>
  <c r="C487" i="3" s="1"/>
  <c r="C488" i="3" s="1"/>
  <c r="C489" i="3" s="1"/>
  <c r="C490" i="3" s="1"/>
  <c r="C491" i="3" s="1"/>
  <c r="C492" i="3" s="1"/>
  <c r="C493" i="3" s="1"/>
  <c r="C494" i="3" s="1"/>
  <c r="C495" i="3" s="1"/>
  <c r="C496" i="3" s="1"/>
  <c r="C497" i="3" s="1"/>
  <c r="C498" i="3" s="1"/>
  <c r="G358" i="3"/>
  <c r="C397" i="3"/>
  <c r="G429" i="3"/>
  <c r="G287" i="3"/>
  <c r="A288" i="3"/>
  <c r="G288" i="3" s="1"/>
  <c r="G500" i="3"/>
  <c r="B432" i="3"/>
  <c r="A431" i="3"/>
  <c r="G431" i="3" s="1"/>
  <c r="B503" i="3"/>
  <c r="A502" i="3"/>
  <c r="G502" i="3" s="1"/>
  <c r="A430" i="3"/>
  <c r="G430" i="3" s="1"/>
  <c r="A501" i="3"/>
  <c r="G501" i="3" s="1"/>
  <c r="B291" i="3"/>
  <c r="B361" i="3"/>
  <c r="A360" i="3"/>
  <c r="G360" i="3" s="1"/>
  <c r="C289" i="3"/>
  <c r="C290" i="3" s="1"/>
  <c r="C291" i="3" s="1"/>
  <c r="C292" i="3" s="1"/>
  <c r="C293" i="3" s="1"/>
  <c r="C294" i="3" s="1"/>
  <c r="C295" i="3" s="1"/>
  <c r="C296" i="3" s="1"/>
  <c r="C297" i="3" s="1"/>
  <c r="C298" i="3" s="1"/>
  <c r="C299" i="3" s="1"/>
  <c r="C300" i="3" s="1"/>
  <c r="C301" i="3" s="1"/>
  <c r="C302" i="3" s="1"/>
  <c r="C303" i="3" s="1"/>
  <c r="C304" i="3" s="1"/>
  <c r="C305" i="3" s="1"/>
  <c r="C306" i="3" s="1"/>
  <c r="C307" i="3" s="1"/>
  <c r="C308" i="3" s="1"/>
  <c r="C309" i="3" s="1"/>
  <c r="C310" i="3" s="1"/>
  <c r="C311" i="3" s="1"/>
  <c r="C312" i="3" s="1"/>
  <c r="C313" i="3" s="1"/>
  <c r="C314" i="3" s="1"/>
  <c r="C315" i="3" s="1"/>
  <c r="C316" i="3" s="1"/>
  <c r="C317" i="3" s="1"/>
  <c r="C318" i="3" s="1"/>
  <c r="C319" i="3" s="1"/>
  <c r="C320" i="3" s="1"/>
  <c r="C321" i="3" s="1"/>
  <c r="C322" i="3" s="1"/>
  <c r="C323" i="3" s="1"/>
  <c r="C324" i="3" s="1"/>
  <c r="C325" i="3" s="1"/>
  <c r="C326" i="3" s="1"/>
  <c r="C327" i="3" s="1"/>
  <c r="C328" i="3" s="1"/>
  <c r="C329" i="3" s="1"/>
  <c r="C330" i="3" s="1"/>
  <c r="C331" i="3" s="1"/>
  <c r="C332" i="3" s="1"/>
  <c r="C333" i="3" s="1"/>
  <c r="C334" i="3" s="1"/>
  <c r="C335" i="3" s="1"/>
  <c r="C336" i="3" s="1"/>
  <c r="C337" i="3" s="1"/>
  <c r="C338" i="3" s="1"/>
  <c r="C339" i="3" s="1"/>
  <c r="C340" i="3" s="1"/>
  <c r="C341" i="3" s="1"/>
  <c r="C342" i="3" s="1"/>
  <c r="C343" i="3" s="1"/>
  <c r="C344" i="3" s="1"/>
  <c r="C345" i="3" s="1"/>
  <c r="C346" i="3" s="1"/>
  <c r="C347" i="3" s="1"/>
  <c r="C348" i="3" s="1"/>
  <c r="C349" i="3" s="1"/>
  <c r="C350" i="3" s="1"/>
  <c r="C351" i="3" s="1"/>
  <c r="C352" i="3" s="1"/>
  <c r="C353" i="3" s="1"/>
  <c r="C354" i="3" s="1"/>
  <c r="C355" i="3" s="1"/>
  <c r="C356" i="3" s="1"/>
  <c r="A359" i="3"/>
  <c r="G359" i="3" s="1"/>
  <c r="A289" i="3" l="1"/>
  <c r="G289" i="3" s="1"/>
  <c r="C398" i="3"/>
  <c r="B504" i="3"/>
  <c r="A503" i="3"/>
  <c r="G503" i="3" s="1"/>
  <c r="B433" i="3"/>
  <c r="A432" i="3"/>
  <c r="G432" i="3" s="1"/>
  <c r="B362" i="3"/>
  <c r="A361" i="3"/>
  <c r="G361" i="3" s="1"/>
  <c r="A290" i="3"/>
  <c r="G290" i="3" s="1"/>
  <c r="B292" i="3"/>
  <c r="A291" i="3"/>
  <c r="G291" i="3" s="1"/>
  <c r="C399" i="3" l="1"/>
  <c r="B434" i="3"/>
  <c r="A433" i="3"/>
  <c r="G433" i="3" s="1"/>
  <c r="B505" i="3"/>
  <c r="A504" i="3"/>
  <c r="G504" i="3" s="1"/>
  <c r="A292" i="3"/>
  <c r="G292" i="3" s="1"/>
  <c r="B293" i="3"/>
  <c r="A362" i="3"/>
  <c r="G362" i="3" s="1"/>
  <c r="B363" i="3"/>
  <c r="C400" i="3" l="1"/>
  <c r="B506" i="3"/>
  <c r="A505" i="3"/>
  <c r="G505" i="3" s="1"/>
  <c r="B435" i="3"/>
  <c r="A434" i="3"/>
  <c r="G434" i="3" s="1"/>
  <c r="B364" i="3"/>
  <c r="A363" i="3"/>
  <c r="G363" i="3" s="1"/>
  <c r="B294" i="3"/>
  <c r="A293" i="3"/>
  <c r="G293" i="3" s="1"/>
  <c r="C401" i="3" l="1"/>
  <c r="B436" i="3"/>
  <c r="A435" i="3"/>
  <c r="G435" i="3" s="1"/>
  <c r="B507" i="3"/>
  <c r="A506" i="3"/>
  <c r="G506" i="3" s="1"/>
  <c r="B295" i="3"/>
  <c r="A294" i="3"/>
  <c r="G294" i="3" s="1"/>
  <c r="B365" i="3"/>
  <c r="A364" i="3"/>
  <c r="G364" i="3" s="1"/>
  <c r="C402" i="3" l="1"/>
  <c r="B508" i="3"/>
  <c r="A507" i="3"/>
  <c r="G507" i="3" s="1"/>
  <c r="B437" i="3"/>
  <c r="A436" i="3"/>
  <c r="G436" i="3" s="1"/>
  <c r="B366" i="3"/>
  <c r="A365" i="3"/>
  <c r="G365" i="3" s="1"/>
  <c r="B296" i="3"/>
  <c r="A295" i="3"/>
  <c r="G295" i="3" s="1"/>
  <c r="C403" i="3" l="1"/>
  <c r="B438" i="3"/>
  <c r="A437" i="3"/>
  <c r="G437" i="3" s="1"/>
  <c r="B509" i="3"/>
  <c r="A508" i="3"/>
  <c r="G508" i="3" s="1"/>
  <c r="A296" i="3"/>
  <c r="G296" i="3" s="1"/>
  <c r="B297" i="3"/>
  <c r="A366" i="3"/>
  <c r="G366" i="3" s="1"/>
  <c r="B367" i="3"/>
  <c r="C404" i="3" l="1"/>
  <c r="B510" i="3"/>
  <c r="A509" i="3"/>
  <c r="G509" i="3" s="1"/>
  <c r="B439" i="3"/>
  <c r="B440" i="3" s="1"/>
  <c r="A438" i="3"/>
  <c r="G438" i="3" s="1"/>
  <c r="B368" i="3"/>
  <c r="A367" i="3"/>
  <c r="G367" i="3" s="1"/>
  <c r="B298" i="3"/>
  <c r="A297" i="3"/>
  <c r="G297" i="3" s="1"/>
  <c r="B441" i="3" l="1"/>
  <c r="A440" i="3"/>
  <c r="C405" i="3"/>
  <c r="A439" i="3"/>
  <c r="G439" i="3" s="1"/>
  <c r="B511" i="3"/>
  <c r="A510" i="3"/>
  <c r="G510" i="3" s="1"/>
  <c r="B299" i="3"/>
  <c r="A298" i="3"/>
  <c r="G298" i="3" s="1"/>
  <c r="B369" i="3"/>
  <c r="A368" i="3"/>
  <c r="G368" i="3" s="1"/>
  <c r="B442" i="3" l="1"/>
  <c r="A441" i="3"/>
  <c r="C406" i="3"/>
  <c r="B512" i="3"/>
  <c r="A511" i="3"/>
  <c r="G511" i="3" s="1"/>
  <c r="B370" i="3"/>
  <c r="A369" i="3"/>
  <c r="G369" i="3" s="1"/>
  <c r="B300" i="3"/>
  <c r="A299" i="3"/>
  <c r="G299" i="3" s="1"/>
  <c r="A442" i="3" l="1"/>
  <c r="B443" i="3"/>
  <c r="C407" i="3"/>
  <c r="B513" i="3"/>
  <c r="A512" i="3"/>
  <c r="G512" i="3" s="1"/>
  <c r="B301" i="3"/>
  <c r="B302" i="3" s="1"/>
  <c r="A300" i="3"/>
  <c r="G300" i="3" s="1"/>
  <c r="B371" i="3"/>
  <c r="A370" i="3"/>
  <c r="G370" i="3" s="1"/>
  <c r="B444" i="3" l="1"/>
  <c r="A443" i="3"/>
  <c r="B303" i="3"/>
  <c r="A302" i="3"/>
  <c r="G302" i="3" s="1"/>
  <c r="C408" i="3"/>
  <c r="B514" i="3"/>
  <c r="A513" i="3"/>
  <c r="G513" i="3" s="1"/>
  <c r="A371" i="3"/>
  <c r="G371" i="3" s="1"/>
  <c r="B372" i="3"/>
  <c r="A301" i="3"/>
  <c r="G301" i="3" s="1"/>
  <c r="A303" i="3" l="1"/>
  <c r="G303" i="3" s="1"/>
  <c r="B304" i="3"/>
  <c r="B445" i="3"/>
  <c r="A444" i="3"/>
  <c r="C409" i="3"/>
  <c r="B515" i="3"/>
  <c r="A514" i="3"/>
  <c r="G514" i="3" s="1"/>
  <c r="B373" i="3"/>
  <c r="A372" i="3"/>
  <c r="G372" i="3" s="1"/>
  <c r="A304" i="3" l="1"/>
  <c r="G304" i="3" s="1"/>
  <c r="B305" i="3"/>
  <c r="B446" i="3"/>
  <c r="A445" i="3"/>
  <c r="C410" i="3"/>
  <c r="B516" i="3"/>
  <c r="A515" i="3"/>
  <c r="G515" i="3" s="1"/>
  <c r="B374" i="3"/>
  <c r="B375" i="3" s="1"/>
  <c r="A373" i="3"/>
  <c r="G373" i="3" s="1"/>
  <c r="A375" i="3" l="1"/>
  <c r="G375" i="3" s="1"/>
  <c r="B376" i="3"/>
  <c r="B306" i="3"/>
  <c r="A305" i="3"/>
  <c r="G305" i="3" s="1"/>
  <c r="B447" i="3"/>
  <c r="A446" i="3"/>
  <c r="C411" i="3"/>
  <c r="B517" i="3"/>
  <c r="A516" i="3"/>
  <c r="G516" i="3" s="1"/>
  <c r="A374" i="3"/>
  <c r="G374" i="3" s="1"/>
  <c r="A447" i="3" l="1"/>
  <c r="B448" i="3"/>
  <c r="B377" i="3"/>
  <c r="A376" i="3"/>
  <c r="G376" i="3" s="1"/>
  <c r="B307" i="3"/>
  <c r="A306" i="3"/>
  <c r="G306" i="3" s="1"/>
  <c r="C412" i="3"/>
  <c r="B518" i="3"/>
  <c r="B519" i="3" s="1"/>
  <c r="A517" i="3"/>
  <c r="G517" i="3" s="1"/>
  <c r="B449" i="3" l="1"/>
  <c r="A448" i="3"/>
  <c r="B520" i="3"/>
  <c r="A519" i="3"/>
  <c r="B308" i="3"/>
  <c r="A307" i="3"/>
  <c r="G307" i="3" s="1"/>
  <c r="B378" i="3"/>
  <c r="A377" i="3"/>
  <c r="G377" i="3" s="1"/>
  <c r="C413" i="3"/>
  <c r="A518" i="3"/>
  <c r="G518" i="3" s="1"/>
  <c r="B379" i="3" l="1"/>
  <c r="A378" i="3"/>
  <c r="G378" i="3" s="1"/>
  <c r="B309" i="3"/>
  <c r="A308" i="3"/>
  <c r="G308" i="3" s="1"/>
  <c r="A520" i="3"/>
  <c r="B521" i="3"/>
  <c r="A449" i="3"/>
  <c r="B450" i="3"/>
  <c r="C414" i="3"/>
  <c r="B451" i="3" l="1"/>
  <c r="A450" i="3"/>
  <c r="B522" i="3"/>
  <c r="A521" i="3"/>
  <c r="A309" i="3"/>
  <c r="G309" i="3" s="1"/>
  <c r="B310" i="3"/>
  <c r="B380" i="3"/>
  <c r="A379" i="3"/>
  <c r="G379" i="3" s="1"/>
  <c r="C415" i="3"/>
  <c r="B381" i="3" l="1"/>
  <c r="A380" i="3"/>
  <c r="G380" i="3" s="1"/>
  <c r="B311" i="3"/>
  <c r="A310" i="3"/>
  <c r="G310" i="3" s="1"/>
  <c r="A522" i="3"/>
  <c r="B523" i="3"/>
  <c r="B452" i="3"/>
  <c r="A451" i="3"/>
  <c r="C416" i="3"/>
  <c r="B524" i="3" l="1"/>
  <c r="A523" i="3"/>
  <c r="B453" i="3"/>
  <c r="A452" i="3"/>
  <c r="A311" i="3"/>
  <c r="G311" i="3" s="1"/>
  <c r="B312" i="3"/>
  <c r="B382" i="3"/>
  <c r="A381" i="3"/>
  <c r="G381" i="3" s="1"/>
  <c r="C417" i="3"/>
  <c r="B383" i="3" l="1"/>
  <c r="A382" i="3"/>
  <c r="G382" i="3" s="1"/>
  <c r="B313" i="3"/>
  <c r="A312" i="3"/>
  <c r="G312" i="3" s="1"/>
  <c r="B454" i="3"/>
  <c r="A453" i="3"/>
  <c r="B525" i="3"/>
  <c r="A524" i="3"/>
  <c r="C418" i="3"/>
  <c r="B526" i="3" l="1"/>
  <c r="A525" i="3"/>
  <c r="A454" i="3"/>
  <c r="B455" i="3"/>
  <c r="A313" i="3"/>
  <c r="G313" i="3" s="1"/>
  <c r="B314" i="3"/>
  <c r="B384" i="3"/>
  <c r="A383" i="3"/>
  <c r="G383" i="3" s="1"/>
  <c r="C419" i="3"/>
  <c r="B385" i="3" l="1"/>
  <c r="A384" i="3"/>
  <c r="G384" i="3" s="1"/>
  <c r="A314" i="3"/>
  <c r="G314" i="3" s="1"/>
  <c r="B315" i="3"/>
  <c r="B456" i="3"/>
  <c r="A455" i="3"/>
  <c r="B527" i="3"/>
  <c r="A526" i="3"/>
  <c r="C420" i="3"/>
  <c r="A315" i="3" l="1"/>
  <c r="G315" i="3" s="1"/>
  <c r="B316" i="3"/>
  <c r="B528" i="3"/>
  <c r="A527" i="3"/>
  <c r="B457" i="3"/>
  <c r="A456" i="3"/>
  <c r="B386" i="3"/>
  <c r="A385" i="3"/>
  <c r="G385" i="3" s="1"/>
  <c r="C421" i="3"/>
  <c r="B458" i="3" l="1"/>
  <c r="A457" i="3"/>
  <c r="B317" i="3"/>
  <c r="A316" i="3"/>
  <c r="G316" i="3" s="1"/>
  <c r="B387" i="3"/>
  <c r="A386" i="3"/>
  <c r="G386" i="3" s="1"/>
  <c r="B529" i="3"/>
  <c r="A528" i="3"/>
  <c r="C422" i="3"/>
  <c r="B530" i="3" l="1"/>
  <c r="A529" i="3"/>
  <c r="B388" i="3"/>
  <c r="A387" i="3"/>
  <c r="G387" i="3" s="1"/>
  <c r="A317" i="3"/>
  <c r="G317" i="3" s="1"/>
  <c r="B318" i="3"/>
  <c r="B459" i="3"/>
  <c r="A458" i="3"/>
  <c r="C423" i="3"/>
  <c r="B319" i="3" l="1"/>
  <c r="A318" i="3"/>
  <c r="G318" i="3" s="1"/>
  <c r="B460" i="3"/>
  <c r="A459" i="3"/>
  <c r="B389" i="3"/>
  <c r="A388" i="3"/>
  <c r="G388" i="3" s="1"/>
  <c r="B531" i="3"/>
  <c r="A530" i="3"/>
  <c r="C424" i="3"/>
  <c r="B532" i="3" l="1"/>
  <c r="A531" i="3"/>
  <c r="B461" i="3"/>
  <c r="A460" i="3"/>
  <c r="B390" i="3"/>
  <c r="A389" i="3"/>
  <c r="G389" i="3" s="1"/>
  <c r="B320" i="3"/>
  <c r="A319" i="3"/>
  <c r="G319" i="3" s="1"/>
  <c r="C425" i="3"/>
  <c r="A320" i="3" l="1"/>
  <c r="G320" i="3" s="1"/>
  <c r="B321" i="3"/>
  <c r="B391" i="3"/>
  <c r="A390" i="3"/>
  <c r="G390" i="3" s="1"/>
  <c r="B462" i="3"/>
  <c r="A461" i="3"/>
  <c r="B533" i="3"/>
  <c r="A532" i="3"/>
  <c r="C426" i="3"/>
  <c r="B534" i="3" l="1"/>
  <c r="A533" i="3"/>
  <c r="B463" i="3"/>
  <c r="A462" i="3"/>
  <c r="A321" i="3"/>
  <c r="G321" i="3" s="1"/>
  <c r="B322" i="3"/>
  <c r="B392" i="3"/>
  <c r="A391" i="3"/>
  <c r="G391" i="3" s="1"/>
  <c r="C427" i="3"/>
  <c r="A463" i="3" l="1"/>
  <c r="B464" i="3"/>
  <c r="B393" i="3"/>
  <c r="A392" i="3"/>
  <c r="G392" i="3" s="1"/>
  <c r="B323" i="3"/>
  <c r="A322" i="3"/>
  <c r="G322" i="3" s="1"/>
  <c r="B535" i="3"/>
  <c r="A534" i="3"/>
  <c r="B536" i="3" l="1"/>
  <c r="A535" i="3"/>
  <c r="A323" i="3"/>
  <c r="G323" i="3" s="1"/>
  <c r="B324" i="3"/>
  <c r="B465" i="3"/>
  <c r="A464" i="3"/>
  <c r="B394" i="3"/>
  <c r="A393" i="3"/>
  <c r="G393" i="3" s="1"/>
  <c r="B395" i="3" l="1"/>
  <c r="A394" i="3"/>
  <c r="G394" i="3" s="1"/>
  <c r="A465" i="3"/>
  <c r="B466" i="3"/>
  <c r="A324" i="3"/>
  <c r="G324" i="3" s="1"/>
  <c r="B325" i="3"/>
  <c r="B537" i="3"/>
  <c r="A536" i="3"/>
  <c r="B538" i="3" l="1"/>
  <c r="A537" i="3"/>
  <c r="A325" i="3"/>
  <c r="G325" i="3" s="1"/>
  <c r="B326" i="3"/>
  <c r="B467" i="3"/>
  <c r="A466" i="3"/>
  <c r="B396" i="3"/>
  <c r="A395" i="3"/>
  <c r="G395" i="3" s="1"/>
  <c r="B397" i="3" l="1"/>
  <c r="A396" i="3"/>
  <c r="G396" i="3" s="1"/>
  <c r="B468" i="3"/>
  <c r="A467" i="3"/>
  <c r="A326" i="3"/>
  <c r="G326" i="3" s="1"/>
  <c r="B327" i="3"/>
  <c r="A538" i="3"/>
  <c r="B539" i="3"/>
  <c r="B540" i="3" l="1"/>
  <c r="A539" i="3"/>
  <c r="B328" i="3"/>
  <c r="A327" i="3"/>
  <c r="G327" i="3" s="1"/>
  <c r="B469" i="3"/>
  <c r="A468" i="3"/>
  <c r="B398" i="3"/>
  <c r="A397" i="3"/>
  <c r="G397" i="3" s="1"/>
  <c r="A469" i="3" l="1"/>
  <c r="B470" i="3"/>
  <c r="B399" i="3"/>
  <c r="A398" i="3"/>
  <c r="G398" i="3" s="1"/>
  <c r="B329" i="3"/>
  <c r="A328" i="3"/>
  <c r="G328" i="3" s="1"/>
  <c r="B541" i="3"/>
  <c r="A540" i="3"/>
  <c r="A541" i="3" l="1"/>
  <c r="B542" i="3"/>
  <c r="A329" i="3"/>
  <c r="G329" i="3" s="1"/>
  <c r="B330" i="3"/>
  <c r="B471" i="3"/>
  <c r="A470" i="3"/>
  <c r="B400" i="3"/>
  <c r="A399" i="3"/>
  <c r="G399" i="3" s="1"/>
  <c r="B472" i="3" l="1"/>
  <c r="A471" i="3"/>
  <c r="B331" i="3"/>
  <c r="A330" i="3"/>
  <c r="G330" i="3" s="1"/>
  <c r="B543" i="3"/>
  <c r="A542" i="3"/>
  <c r="B401" i="3"/>
  <c r="A400" i="3"/>
  <c r="G400" i="3" s="1"/>
  <c r="B332" i="3" l="1"/>
  <c r="A331" i="3"/>
  <c r="G331" i="3" s="1"/>
  <c r="B402" i="3"/>
  <c r="A401" i="3"/>
  <c r="G401" i="3" s="1"/>
  <c r="B544" i="3"/>
  <c r="A543" i="3"/>
  <c r="B473" i="3"/>
  <c r="A472" i="3"/>
  <c r="B545" i="3" l="1"/>
  <c r="A544" i="3"/>
  <c r="B474" i="3"/>
  <c r="A473" i="3"/>
  <c r="B403" i="3"/>
  <c r="A402" i="3"/>
  <c r="G402" i="3" s="1"/>
  <c r="B333" i="3"/>
  <c r="A332" i="3"/>
  <c r="G332" i="3" s="1"/>
  <c r="G144" i="17"/>
  <c r="A63" i="17"/>
  <c r="A62" i="17"/>
  <c r="E227" i="17"/>
  <c r="E199" i="17"/>
  <c r="K167" i="15"/>
  <c r="J167" i="15"/>
  <c r="I167" i="15"/>
  <c r="H167" i="15"/>
  <c r="F167" i="15"/>
  <c r="E167" i="15"/>
  <c r="A333" i="3" l="1"/>
  <c r="G333" i="3" s="1"/>
  <c r="B334" i="3"/>
  <c r="B404" i="3"/>
  <c r="A403" i="3"/>
  <c r="G403" i="3" s="1"/>
  <c r="A474" i="3"/>
  <c r="B475" i="3"/>
  <c r="B546" i="3"/>
  <c r="A545" i="3"/>
  <c r="K193" i="15"/>
  <c r="J193" i="15"/>
  <c r="I193" i="15"/>
  <c r="H193" i="15"/>
  <c r="G193" i="15"/>
  <c r="F193" i="15"/>
  <c r="E193" i="15"/>
  <c r="K180" i="15"/>
  <c r="J180" i="15"/>
  <c r="I180" i="15"/>
  <c r="H180" i="15"/>
  <c r="F180" i="15"/>
  <c r="G180" i="15" s="1"/>
  <c r="E180" i="15"/>
  <c r="D142" i="1"/>
  <c r="B146" i="1" s="1"/>
  <c r="C142" i="1"/>
  <c r="B13" i="1" s="1"/>
  <c r="I225" i="3"/>
  <c r="H225" i="3"/>
  <c r="F225" i="3"/>
  <c r="E225" i="3"/>
  <c r="D225" i="3"/>
  <c r="I224" i="3"/>
  <c r="H224" i="3"/>
  <c r="F224" i="3"/>
  <c r="E224" i="3"/>
  <c r="D224" i="3"/>
  <c r="I223" i="3"/>
  <c r="H223" i="3"/>
  <c r="F223" i="3"/>
  <c r="E223" i="3"/>
  <c r="D223" i="3"/>
  <c r="I222" i="3"/>
  <c r="H222" i="3"/>
  <c r="F222" i="3"/>
  <c r="E222" i="3"/>
  <c r="D222" i="3"/>
  <c r="I221" i="3"/>
  <c r="H221" i="3"/>
  <c r="F221" i="3"/>
  <c r="E221" i="3"/>
  <c r="D221" i="3"/>
  <c r="I220" i="3"/>
  <c r="H220" i="3"/>
  <c r="F220" i="3"/>
  <c r="E220" i="3"/>
  <c r="D220" i="3"/>
  <c r="I219" i="3"/>
  <c r="H219" i="3"/>
  <c r="F219" i="3"/>
  <c r="E219" i="3"/>
  <c r="D219" i="3"/>
  <c r="I218" i="3"/>
  <c r="H218" i="3"/>
  <c r="F218" i="3"/>
  <c r="E218" i="3"/>
  <c r="D218" i="3"/>
  <c r="I217" i="3"/>
  <c r="H217" i="3"/>
  <c r="F217" i="3"/>
  <c r="E217" i="3"/>
  <c r="D217" i="3"/>
  <c r="C217" i="3"/>
  <c r="C218" i="3" s="1"/>
  <c r="C219" i="3" s="1"/>
  <c r="C220" i="3" s="1"/>
  <c r="C221" i="3" s="1"/>
  <c r="C222" i="3" s="1"/>
  <c r="C223" i="3" s="1"/>
  <c r="C224" i="3" s="1"/>
  <c r="C225" i="3" s="1"/>
  <c r="C226" i="3" s="1"/>
  <c r="C227" i="3" s="1"/>
  <c r="C228" i="3" s="1"/>
  <c r="C229" i="3" s="1"/>
  <c r="C230" i="3" s="1"/>
  <c r="C231" i="3" s="1"/>
  <c r="C232" i="3" s="1"/>
  <c r="C233" i="3" s="1"/>
  <c r="C234" i="3" s="1"/>
  <c r="C235" i="3" s="1"/>
  <c r="C236" i="3" s="1"/>
  <c r="C237" i="3" s="1"/>
  <c r="C238" i="3" s="1"/>
  <c r="C239" i="3" s="1"/>
  <c r="C240" i="3" s="1"/>
  <c r="C241" i="3" s="1"/>
  <c r="C242" i="3" s="1"/>
  <c r="C243" i="3" s="1"/>
  <c r="C244" i="3" s="1"/>
  <c r="C245" i="3" s="1"/>
  <c r="C246" i="3" s="1"/>
  <c r="C247" i="3" s="1"/>
  <c r="C248" i="3" s="1"/>
  <c r="C249" i="3" s="1"/>
  <c r="C250" i="3" s="1"/>
  <c r="C251" i="3" s="1"/>
  <c r="C252" i="3" s="1"/>
  <c r="C253" i="3" s="1"/>
  <c r="C254" i="3" s="1"/>
  <c r="C255" i="3" s="1"/>
  <c r="C256" i="3" s="1"/>
  <c r="C257" i="3" s="1"/>
  <c r="C258" i="3" s="1"/>
  <c r="C259" i="3" s="1"/>
  <c r="C260" i="3" s="1"/>
  <c r="C261" i="3" s="1"/>
  <c r="C262" i="3" s="1"/>
  <c r="C263" i="3" s="1"/>
  <c r="C264" i="3" s="1"/>
  <c r="C265" i="3" s="1"/>
  <c r="C266" i="3" s="1"/>
  <c r="C267" i="3" s="1"/>
  <c r="C268" i="3" s="1"/>
  <c r="C269" i="3" s="1"/>
  <c r="C270" i="3" s="1"/>
  <c r="C271" i="3" s="1"/>
  <c r="C272" i="3" s="1"/>
  <c r="C273" i="3" s="1"/>
  <c r="C274" i="3" s="1"/>
  <c r="C275" i="3" s="1"/>
  <c r="C276" i="3" s="1"/>
  <c r="C277" i="3" s="1"/>
  <c r="C278" i="3" s="1"/>
  <c r="C279" i="3" s="1"/>
  <c r="C280" i="3" s="1"/>
  <c r="C281" i="3" s="1"/>
  <c r="C282" i="3" s="1"/>
  <c r="C283" i="3" s="1"/>
  <c r="C284" i="3" s="1"/>
  <c r="C285" i="3" s="1"/>
  <c r="B217" i="3"/>
  <c r="B218" i="3" s="1"/>
  <c r="I216" i="3"/>
  <c r="H216" i="3"/>
  <c r="F216" i="3"/>
  <c r="E216" i="3"/>
  <c r="D216" i="3"/>
  <c r="A216" i="3"/>
  <c r="G215" i="3"/>
  <c r="I157" i="3"/>
  <c r="H157" i="3"/>
  <c r="F157" i="3"/>
  <c r="E157" i="3"/>
  <c r="D157" i="3"/>
  <c r="I156" i="3"/>
  <c r="H156" i="3"/>
  <c r="F156" i="3"/>
  <c r="E156" i="3"/>
  <c r="D156" i="3"/>
  <c r="I155" i="3"/>
  <c r="H155" i="3"/>
  <c r="F155" i="3"/>
  <c r="E155" i="3"/>
  <c r="D155" i="3"/>
  <c r="I154" i="3"/>
  <c r="H154" i="3"/>
  <c r="F154" i="3"/>
  <c r="E154" i="3"/>
  <c r="D154" i="3"/>
  <c r="I153" i="3"/>
  <c r="H153" i="3"/>
  <c r="F153" i="3"/>
  <c r="E153" i="3"/>
  <c r="D153" i="3"/>
  <c r="I152" i="3"/>
  <c r="H152" i="3"/>
  <c r="F152" i="3"/>
  <c r="E152" i="3"/>
  <c r="D152" i="3"/>
  <c r="I151" i="3"/>
  <c r="H151" i="3"/>
  <c r="F151" i="3"/>
  <c r="E151" i="3"/>
  <c r="D151" i="3"/>
  <c r="I150" i="3"/>
  <c r="H150" i="3"/>
  <c r="F150" i="3"/>
  <c r="E150" i="3"/>
  <c r="D150" i="3"/>
  <c r="I149" i="3"/>
  <c r="H149" i="3"/>
  <c r="F149" i="3"/>
  <c r="E149" i="3"/>
  <c r="D149" i="3"/>
  <c r="I148" i="3"/>
  <c r="H148" i="3"/>
  <c r="F148" i="3"/>
  <c r="E148" i="3"/>
  <c r="D148" i="3"/>
  <c r="I147" i="3"/>
  <c r="H147" i="3"/>
  <c r="F147" i="3"/>
  <c r="E147" i="3"/>
  <c r="D147" i="3"/>
  <c r="I146" i="3"/>
  <c r="H146" i="3"/>
  <c r="F146" i="3"/>
  <c r="E146" i="3"/>
  <c r="D146" i="3"/>
  <c r="C146" i="3"/>
  <c r="C147" i="3" s="1"/>
  <c r="C148" i="3" s="1"/>
  <c r="C149" i="3" s="1"/>
  <c r="C150" i="3" s="1"/>
  <c r="C151" i="3" s="1"/>
  <c r="C152" i="3" s="1"/>
  <c r="C153" i="3" s="1"/>
  <c r="C154" i="3" s="1"/>
  <c r="C155" i="3" s="1"/>
  <c r="C156" i="3" s="1"/>
  <c r="C157" i="3" s="1"/>
  <c r="C158" i="3" s="1"/>
  <c r="C159" i="3" s="1"/>
  <c r="C160" i="3" s="1"/>
  <c r="C161" i="3" s="1"/>
  <c r="C162" i="3" s="1"/>
  <c r="C163" i="3" s="1"/>
  <c r="C164" i="3" s="1"/>
  <c r="C165" i="3" s="1"/>
  <c r="C166" i="3" s="1"/>
  <c r="C167" i="3" s="1"/>
  <c r="C168" i="3" s="1"/>
  <c r="C169" i="3" s="1"/>
  <c r="C170" i="3" s="1"/>
  <c r="C171" i="3" s="1"/>
  <c r="C172" i="3" s="1"/>
  <c r="C173" i="3" s="1"/>
  <c r="C174" i="3" s="1"/>
  <c r="C175" i="3" s="1"/>
  <c r="C176" i="3" s="1"/>
  <c r="C177" i="3" s="1"/>
  <c r="C178" i="3" s="1"/>
  <c r="C179" i="3" s="1"/>
  <c r="C180" i="3" s="1"/>
  <c r="C181" i="3" s="1"/>
  <c r="C182" i="3" s="1"/>
  <c r="C183" i="3" s="1"/>
  <c r="C184" i="3" s="1"/>
  <c r="C185" i="3" s="1"/>
  <c r="C186" i="3" s="1"/>
  <c r="C187" i="3" s="1"/>
  <c r="C188" i="3" s="1"/>
  <c r="C189" i="3" s="1"/>
  <c r="C190" i="3" s="1"/>
  <c r="C191" i="3" s="1"/>
  <c r="C192" i="3" s="1"/>
  <c r="C193" i="3" s="1"/>
  <c r="C194" i="3" s="1"/>
  <c r="C195" i="3" s="1"/>
  <c r="C196" i="3" s="1"/>
  <c r="C197" i="3" s="1"/>
  <c r="C198" i="3" s="1"/>
  <c r="C199" i="3" s="1"/>
  <c r="C200" i="3" s="1"/>
  <c r="C201" i="3" s="1"/>
  <c r="C202" i="3" s="1"/>
  <c r="C203" i="3" s="1"/>
  <c r="C204" i="3" s="1"/>
  <c r="C205" i="3" s="1"/>
  <c r="C206" i="3" s="1"/>
  <c r="C207" i="3" s="1"/>
  <c r="C208" i="3" s="1"/>
  <c r="C209" i="3" s="1"/>
  <c r="C210" i="3" s="1"/>
  <c r="C211" i="3" s="1"/>
  <c r="C212" i="3" s="1"/>
  <c r="C213" i="3" s="1"/>
  <c r="C214" i="3" s="1"/>
  <c r="B146" i="3"/>
  <c r="B147" i="3" s="1"/>
  <c r="I145" i="3"/>
  <c r="H145" i="3"/>
  <c r="F145" i="3"/>
  <c r="E145" i="3"/>
  <c r="D145" i="3"/>
  <c r="A145" i="3"/>
  <c r="G144" i="3"/>
  <c r="D144" i="17"/>
  <c r="C144" i="17"/>
  <c r="G167" i="15"/>
  <c r="B156" i="15"/>
  <c r="B547" i="3" l="1"/>
  <c r="A546" i="3"/>
  <c r="B405" i="3"/>
  <c r="A404" i="3"/>
  <c r="G404" i="3" s="1"/>
  <c r="A475" i="3"/>
  <c r="B476" i="3"/>
  <c r="A334" i="3"/>
  <c r="G334" i="3" s="1"/>
  <c r="B335" i="3"/>
  <c r="G216" i="3"/>
  <c r="G145" i="3"/>
  <c r="B194" i="15"/>
  <c r="B3" i="15"/>
  <c r="G218" i="3"/>
  <c r="O7" i="1"/>
  <c r="P7" i="1"/>
  <c r="D171" i="17"/>
  <c r="C226" i="17"/>
  <c r="C216" i="17"/>
  <c r="C206" i="17"/>
  <c r="C225" i="17"/>
  <c r="C205" i="17"/>
  <c r="C221" i="17"/>
  <c r="C210" i="17"/>
  <c r="C224" i="17"/>
  <c r="C214" i="17"/>
  <c r="C204" i="17"/>
  <c r="C222" i="17"/>
  <c r="C202" i="17"/>
  <c r="C211" i="17"/>
  <c r="C209" i="17"/>
  <c r="C218" i="17"/>
  <c r="C223" i="17"/>
  <c r="C213" i="17"/>
  <c r="C203" i="17"/>
  <c r="C212" i="17"/>
  <c r="C220" i="17"/>
  <c r="C227" i="17"/>
  <c r="C217" i="17"/>
  <c r="C207" i="17"/>
  <c r="C215" i="17"/>
  <c r="C219" i="17"/>
  <c r="C208" i="17"/>
  <c r="C199" i="17"/>
  <c r="C189" i="17"/>
  <c r="C179" i="17"/>
  <c r="C198" i="17"/>
  <c r="C188" i="17"/>
  <c r="C178" i="17"/>
  <c r="C174" i="17"/>
  <c r="C183" i="17"/>
  <c r="C192" i="17"/>
  <c r="C180" i="17"/>
  <c r="C197" i="17"/>
  <c r="C187" i="17"/>
  <c r="C177" i="17"/>
  <c r="C195" i="17"/>
  <c r="C175" i="17"/>
  <c r="C184" i="17"/>
  <c r="C181" i="17"/>
  <c r="C190" i="17"/>
  <c r="C196" i="17"/>
  <c r="C186" i="17"/>
  <c r="C176" i="17"/>
  <c r="C185" i="17"/>
  <c r="C194" i="17"/>
  <c r="C182" i="17"/>
  <c r="C191" i="17"/>
  <c r="C193" i="17"/>
  <c r="C162" i="17"/>
  <c r="B176" i="15"/>
  <c r="B188" i="15"/>
  <c r="B174" i="15"/>
  <c r="B186" i="15"/>
  <c r="B175" i="15"/>
  <c r="B187" i="15"/>
  <c r="B189" i="15"/>
  <c r="B178" i="15"/>
  <c r="B190" i="15"/>
  <c r="B179" i="15"/>
  <c r="B191" i="15"/>
  <c r="B177" i="15"/>
  <c r="B180" i="15"/>
  <c r="B192" i="15"/>
  <c r="B171" i="15"/>
  <c r="B181" i="15"/>
  <c r="B193" i="15"/>
  <c r="B172" i="15"/>
  <c r="B184" i="15"/>
  <c r="B167" i="15"/>
  <c r="D6" i="15"/>
  <c r="B173" i="15"/>
  <c r="B185" i="15"/>
  <c r="B163" i="15"/>
  <c r="B162" i="15"/>
  <c r="B164" i="15"/>
  <c r="B158" i="15"/>
  <c r="B161" i="15"/>
  <c r="B159" i="15"/>
  <c r="B168" i="15"/>
  <c r="B160" i="15"/>
  <c r="B165" i="15"/>
  <c r="B166" i="15"/>
  <c r="C154" i="17"/>
  <c r="C155" i="17"/>
  <c r="C164" i="17"/>
  <c r="C153" i="17"/>
  <c r="C163" i="17"/>
  <c r="C166" i="17"/>
  <c r="C148" i="17"/>
  <c r="C165" i="17"/>
  <c r="C146" i="17"/>
  <c r="C156" i="17"/>
  <c r="C158" i="17"/>
  <c r="C160" i="17"/>
  <c r="C151" i="17"/>
  <c r="C161" i="17"/>
  <c r="C171" i="17"/>
  <c r="C147" i="17"/>
  <c r="C157" i="17"/>
  <c r="C167" i="17"/>
  <c r="C168" i="17"/>
  <c r="C149" i="17"/>
  <c r="C159" i="17"/>
  <c r="C169" i="17"/>
  <c r="C150" i="17"/>
  <c r="C170" i="17"/>
  <c r="C152" i="17"/>
  <c r="B147" i="1"/>
  <c r="B148" i="1"/>
  <c r="B150" i="1"/>
  <c r="B151" i="1"/>
  <c r="B152" i="1"/>
  <c r="B149" i="1"/>
  <c r="B145" i="1"/>
  <c r="B219" i="3"/>
  <c r="A218" i="3"/>
  <c r="A217" i="3"/>
  <c r="G217" i="3" s="1"/>
  <c r="B148" i="3"/>
  <c r="A147" i="3"/>
  <c r="G147" i="3" s="1"/>
  <c r="A146" i="3"/>
  <c r="G146" i="3" s="1"/>
  <c r="A335" i="3" l="1"/>
  <c r="G335" i="3" s="1"/>
  <c r="B336" i="3"/>
  <c r="B477" i="3"/>
  <c r="A476" i="3"/>
  <c r="B406" i="3"/>
  <c r="A405" i="3"/>
  <c r="G405" i="3" s="1"/>
  <c r="B548" i="3"/>
  <c r="A547" i="3"/>
  <c r="D227" i="17"/>
  <c r="D199" i="17"/>
  <c r="B4" i="17"/>
  <c r="B4" i="1"/>
  <c r="B220" i="3"/>
  <c r="A219" i="3"/>
  <c r="G219" i="3" s="1"/>
  <c r="B149" i="3"/>
  <c r="A148" i="3"/>
  <c r="G148" i="3" s="1"/>
  <c r="A548" i="3" l="1"/>
  <c r="B549" i="3"/>
  <c r="B407" i="3"/>
  <c r="A406" i="3"/>
  <c r="G406" i="3" s="1"/>
  <c r="B478" i="3"/>
  <c r="A477" i="3"/>
  <c r="B337" i="3"/>
  <c r="A336" i="3"/>
  <c r="G336" i="3" s="1"/>
  <c r="A220" i="3"/>
  <c r="G220" i="3" s="1"/>
  <c r="B221" i="3"/>
  <c r="A149" i="3"/>
  <c r="G149" i="3" s="1"/>
  <c r="B150" i="3"/>
  <c r="A478" i="3" l="1"/>
  <c r="B479" i="3"/>
  <c r="A337" i="3"/>
  <c r="G337" i="3" s="1"/>
  <c r="B338" i="3"/>
  <c r="B408" i="3"/>
  <c r="A407" i="3"/>
  <c r="G407" i="3" s="1"/>
  <c r="B550" i="3"/>
  <c r="A549" i="3"/>
  <c r="A221" i="3"/>
  <c r="G221" i="3" s="1"/>
  <c r="B222" i="3"/>
  <c r="B151" i="3"/>
  <c r="A150" i="3"/>
  <c r="G150" i="3" s="1"/>
  <c r="B551" i="3" l="1"/>
  <c r="A550" i="3"/>
  <c r="B339" i="3"/>
  <c r="A338" i="3"/>
  <c r="G338" i="3" s="1"/>
  <c r="B409" i="3"/>
  <c r="A408" i="3"/>
  <c r="G408" i="3" s="1"/>
  <c r="A479" i="3"/>
  <c r="B480" i="3"/>
  <c r="B223" i="3"/>
  <c r="A222" i="3"/>
  <c r="G222" i="3" s="1"/>
  <c r="B152" i="3"/>
  <c r="A151" i="3"/>
  <c r="G151" i="3" s="1"/>
  <c r="A480" i="3" l="1"/>
  <c r="B481" i="3"/>
  <c r="A339" i="3"/>
  <c r="G339" i="3" s="1"/>
  <c r="B340" i="3"/>
  <c r="B410" i="3"/>
  <c r="A409" i="3"/>
  <c r="G409" i="3" s="1"/>
  <c r="A551" i="3"/>
  <c r="B552" i="3"/>
  <c r="B224" i="3"/>
  <c r="A223" i="3"/>
  <c r="G223" i="3" s="1"/>
  <c r="B153" i="3"/>
  <c r="A152" i="3"/>
  <c r="G152" i="3" s="1"/>
  <c r="A552" i="3" l="1"/>
  <c r="B553" i="3"/>
  <c r="B411" i="3"/>
  <c r="A410" i="3"/>
  <c r="G410" i="3" s="1"/>
  <c r="B482" i="3"/>
  <c r="A481" i="3"/>
  <c r="B341" i="3"/>
  <c r="A340" i="3"/>
  <c r="G340" i="3" s="1"/>
  <c r="B225" i="3"/>
  <c r="B226" i="3" s="1"/>
  <c r="A224" i="3"/>
  <c r="G224" i="3" s="1"/>
  <c r="B154" i="3"/>
  <c r="A153" i="3"/>
  <c r="G153" i="3" s="1"/>
  <c r="B483" i="3" l="1"/>
  <c r="A482" i="3"/>
  <c r="B227" i="3"/>
  <c r="A226" i="3"/>
  <c r="G226" i="3" s="1"/>
  <c r="A341" i="3"/>
  <c r="G341" i="3" s="1"/>
  <c r="B342" i="3"/>
  <c r="B412" i="3"/>
  <c r="A411" i="3"/>
  <c r="G411" i="3" s="1"/>
  <c r="A553" i="3"/>
  <c r="B554" i="3"/>
  <c r="A225" i="3"/>
  <c r="G225" i="3" s="1"/>
  <c r="B155" i="3"/>
  <c r="A154" i="3"/>
  <c r="G154" i="3" s="1"/>
  <c r="B555" i="3" l="1"/>
  <c r="A554" i="3"/>
  <c r="B413" i="3"/>
  <c r="A412" i="3"/>
  <c r="G412" i="3" s="1"/>
  <c r="A342" i="3"/>
  <c r="G342" i="3" s="1"/>
  <c r="B343" i="3"/>
  <c r="B228" i="3"/>
  <c r="A227" i="3"/>
  <c r="G227" i="3" s="1"/>
  <c r="B484" i="3"/>
  <c r="A483" i="3"/>
  <c r="B156" i="3"/>
  <c r="A155" i="3"/>
  <c r="G155" i="3" s="1"/>
  <c r="B414" i="3" l="1"/>
  <c r="A413" i="3"/>
  <c r="G413" i="3" s="1"/>
  <c r="B485" i="3"/>
  <c r="A484" i="3"/>
  <c r="B229" i="3"/>
  <c r="A228" i="3"/>
  <c r="G228" i="3" s="1"/>
  <c r="A343" i="3"/>
  <c r="G343" i="3" s="1"/>
  <c r="B344" i="3"/>
  <c r="B556" i="3"/>
  <c r="A555" i="3"/>
  <c r="B157" i="3"/>
  <c r="B158" i="3" s="1"/>
  <c r="A156" i="3"/>
  <c r="G156" i="3" s="1"/>
  <c r="A344" i="3" l="1"/>
  <c r="G344" i="3" s="1"/>
  <c r="B345" i="3"/>
  <c r="A485" i="3"/>
  <c r="B486" i="3"/>
  <c r="B159" i="3"/>
  <c r="A158" i="3"/>
  <c r="G158" i="3" s="1"/>
  <c r="A556" i="3"/>
  <c r="B557" i="3"/>
  <c r="B230" i="3"/>
  <c r="A229" i="3"/>
  <c r="G229" i="3" s="1"/>
  <c r="B415" i="3"/>
  <c r="A414" i="3"/>
  <c r="G414" i="3" s="1"/>
  <c r="A157" i="3"/>
  <c r="G157" i="3" s="1"/>
  <c r="B558" i="3" l="1"/>
  <c r="A557" i="3"/>
  <c r="A345" i="3"/>
  <c r="G345" i="3" s="1"/>
  <c r="B346" i="3"/>
  <c r="B416" i="3"/>
  <c r="A415" i="3"/>
  <c r="G415" i="3" s="1"/>
  <c r="A230" i="3"/>
  <c r="G230" i="3" s="1"/>
  <c r="B231" i="3"/>
  <c r="A159" i="3"/>
  <c r="G159" i="3" s="1"/>
  <c r="B160" i="3"/>
  <c r="B487" i="3"/>
  <c r="A486" i="3"/>
  <c r="I78" i="3"/>
  <c r="H78" i="3"/>
  <c r="F78" i="3"/>
  <c r="E78" i="3"/>
  <c r="D78" i="3"/>
  <c r="I77" i="3"/>
  <c r="H77" i="3"/>
  <c r="F77" i="3"/>
  <c r="E77" i="3"/>
  <c r="D77" i="3"/>
  <c r="I76" i="3"/>
  <c r="H76" i="3"/>
  <c r="F76" i="3"/>
  <c r="E76" i="3"/>
  <c r="D76" i="3"/>
  <c r="I75" i="3"/>
  <c r="H75" i="3"/>
  <c r="F75" i="3"/>
  <c r="E75" i="3"/>
  <c r="D75" i="3"/>
  <c r="C75" i="3"/>
  <c r="C76" i="3" s="1"/>
  <c r="C77" i="3" s="1"/>
  <c r="C78" i="3" s="1"/>
  <c r="C79" i="3" s="1"/>
  <c r="C80" i="3" s="1"/>
  <c r="C81" i="3" s="1"/>
  <c r="C82" i="3" s="1"/>
  <c r="C83" i="3" s="1"/>
  <c r="C84" i="3" s="1"/>
  <c r="C85" i="3" s="1"/>
  <c r="C86" i="3" s="1"/>
  <c r="C87" i="3" s="1"/>
  <c r="C88" i="3" s="1"/>
  <c r="C89" i="3" s="1"/>
  <c r="C90" i="3" s="1"/>
  <c r="C91" i="3" s="1"/>
  <c r="C92" i="3" s="1"/>
  <c r="C93" i="3" s="1"/>
  <c r="C94" i="3" s="1"/>
  <c r="C95" i="3" s="1"/>
  <c r="C96" i="3" s="1"/>
  <c r="C97" i="3" s="1"/>
  <c r="C98" i="3" s="1"/>
  <c r="C99" i="3" s="1"/>
  <c r="C100" i="3" s="1"/>
  <c r="C101" i="3" s="1"/>
  <c r="C102" i="3" s="1"/>
  <c r="C103" i="3" s="1"/>
  <c r="C104" i="3" s="1"/>
  <c r="C105" i="3" s="1"/>
  <c r="C106" i="3" s="1"/>
  <c r="C107" i="3" s="1"/>
  <c r="C108" i="3" s="1"/>
  <c r="C109" i="3" s="1"/>
  <c r="C110" i="3" s="1"/>
  <c r="C111" i="3" s="1"/>
  <c r="C112" i="3" s="1"/>
  <c r="C113" i="3" s="1"/>
  <c r="C114" i="3" s="1"/>
  <c r="C115" i="3" s="1"/>
  <c r="C116" i="3" s="1"/>
  <c r="C117" i="3" s="1"/>
  <c r="C118" i="3" s="1"/>
  <c r="C119" i="3" s="1"/>
  <c r="C120" i="3" s="1"/>
  <c r="C121" i="3" s="1"/>
  <c r="C122" i="3" s="1"/>
  <c r="C123" i="3" s="1"/>
  <c r="C124" i="3" s="1"/>
  <c r="C125" i="3" s="1"/>
  <c r="C126" i="3" s="1"/>
  <c r="C127" i="3" s="1"/>
  <c r="C128" i="3" s="1"/>
  <c r="C129" i="3" s="1"/>
  <c r="C130" i="3" s="1"/>
  <c r="C131" i="3" s="1"/>
  <c r="C132" i="3" s="1"/>
  <c r="C133" i="3" s="1"/>
  <c r="C134" i="3" s="1"/>
  <c r="C135" i="3" s="1"/>
  <c r="C136" i="3" s="1"/>
  <c r="C137" i="3" s="1"/>
  <c r="C138" i="3" s="1"/>
  <c r="C139" i="3" s="1"/>
  <c r="C140" i="3" s="1"/>
  <c r="C141" i="3" s="1"/>
  <c r="C142" i="3" s="1"/>
  <c r="C143" i="3" s="1"/>
  <c r="B75" i="3"/>
  <c r="I74" i="3"/>
  <c r="H74" i="3"/>
  <c r="F74" i="3"/>
  <c r="E74" i="3"/>
  <c r="D74" i="3"/>
  <c r="A74" i="3"/>
  <c r="I4" i="3"/>
  <c r="H4" i="3"/>
  <c r="I5" i="3"/>
  <c r="H5" i="3"/>
  <c r="I3" i="3"/>
  <c r="H3" i="3"/>
  <c r="F4" i="3"/>
  <c r="E4" i="3"/>
  <c r="D4" i="3"/>
  <c r="F5" i="3"/>
  <c r="E5" i="3"/>
  <c r="D5" i="3"/>
  <c r="D3" i="3"/>
  <c r="E3" i="3"/>
  <c r="F3" i="3"/>
  <c r="C25" i="2"/>
  <c r="B25" i="2"/>
  <c r="A3" i="3"/>
  <c r="C5" i="3"/>
  <c r="C6" i="3" s="1"/>
  <c r="C7" i="3" s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C68" i="3" s="1"/>
  <c r="C69" i="3" s="1"/>
  <c r="C70" i="3" s="1"/>
  <c r="C71" i="3" s="1"/>
  <c r="C72" i="3" s="1"/>
  <c r="B5" i="3"/>
  <c r="A231" i="3" l="1"/>
  <c r="G231" i="3" s="1"/>
  <c r="B232" i="3"/>
  <c r="A160" i="3"/>
  <c r="G160" i="3" s="1"/>
  <c r="B161" i="3"/>
  <c r="B347" i="3"/>
  <c r="A346" i="3"/>
  <c r="G346" i="3" s="1"/>
  <c r="B417" i="3"/>
  <c r="A416" i="3"/>
  <c r="G416" i="3" s="1"/>
  <c r="A487" i="3"/>
  <c r="B488" i="3"/>
  <c r="A558" i="3"/>
  <c r="B559" i="3"/>
  <c r="D192" i="15"/>
  <c r="J192" i="15" s="1"/>
  <c r="D179" i="15"/>
  <c r="K179" i="15" s="1"/>
  <c r="D166" i="15"/>
  <c r="J166" i="15" s="1"/>
  <c r="A5" i="3"/>
  <c r="B6" i="3"/>
  <c r="G74" i="3"/>
  <c r="K6" i="20"/>
  <c r="J6" i="20"/>
  <c r="G5" i="3"/>
  <c r="G3" i="3"/>
  <c r="E142" i="1"/>
  <c r="A146" i="1" s="1"/>
  <c r="A147" i="1" s="1"/>
  <c r="A148" i="1" s="1"/>
  <c r="A149" i="1" s="1"/>
  <c r="A150" i="1" s="1"/>
  <c r="A151" i="1" s="1"/>
  <c r="A152" i="1" s="1"/>
  <c r="A75" i="3"/>
  <c r="G75" i="3" s="1"/>
  <c r="B76" i="3"/>
  <c r="B77" i="3" s="1"/>
  <c r="B78" i="3" s="1"/>
  <c r="B79" i="3" s="1"/>
  <c r="G719" i="3"/>
  <c r="G718" i="3"/>
  <c r="G717" i="3"/>
  <c r="G716" i="3"/>
  <c r="G715" i="3"/>
  <c r="G714" i="3"/>
  <c r="G713" i="3"/>
  <c r="G712" i="3"/>
  <c r="G711" i="3"/>
  <c r="G710" i="3"/>
  <c r="G709" i="3"/>
  <c r="G708" i="3"/>
  <c r="G707" i="3"/>
  <c r="G706" i="3"/>
  <c r="G705" i="3"/>
  <c r="G704" i="3"/>
  <c r="G703" i="3"/>
  <c r="G702" i="3"/>
  <c r="G701" i="3"/>
  <c r="G700" i="3"/>
  <c r="G699" i="3"/>
  <c r="G698" i="3"/>
  <c r="G697" i="3"/>
  <c r="G696" i="3"/>
  <c r="G695" i="3"/>
  <c r="G694" i="3"/>
  <c r="G693" i="3"/>
  <c r="G692" i="3"/>
  <c r="G691" i="3"/>
  <c r="G690" i="3"/>
  <c r="G689" i="3"/>
  <c r="G688" i="3"/>
  <c r="G687" i="3"/>
  <c r="G686" i="3"/>
  <c r="G685" i="3"/>
  <c r="G684" i="3"/>
  <c r="G683" i="3"/>
  <c r="G682" i="3"/>
  <c r="G681" i="3"/>
  <c r="G680" i="3"/>
  <c r="G679" i="3"/>
  <c r="G678" i="3"/>
  <c r="G677" i="3"/>
  <c r="G676" i="3"/>
  <c r="G675" i="3"/>
  <c r="G674" i="3"/>
  <c r="G673" i="3"/>
  <c r="G672" i="3"/>
  <c r="G671" i="3"/>
  <c r="G670" i="3"/>
  <c r="G669" i="3"/>
  <c r="G668" i="3"/>
  <c r="G667" i="3"/>
  <c r="G666" i="3"/>
  <c r="G665" i="3"/>
  <c r="G664" i="3"/>
  <c r="G663" i="3"/>
  <c r="G662" i="3"/>
  <c r="G661" i="3"/>
  <c r="G660" i="3"/>
  <c r="G659" i="3"/>
  <c r="G658" i="3"/>
  <c r="G657" i="3"/>
  <c r="G656" i="3"/>
  <c r="G655" i="3"/>
  <c r="G654" i="3"/>
  <c r="G653" i="3"/>
  <c r="G652" i="3"/>
  <c r="G651" i="3"/>
  <c r="G650" i="3"/>
  <c r="G649" i="3"/>
  <c r="G648" i="3"/>
  <c r="G647" i="3"/>
  <c r="G646" i="3"/>
  <c r="G645" i="3"/>
  <c r="G644" i="3"/>
  <c r="G643" i="3"/>
  <c r="G642" i="3"/>
  <c r="G641" i="3"/>
  <c r="G640" i="3"/>
  <c r="G639" i="3"/>
  <c r="G638" i="3"/>
  <c r="G637" i="3"/>
  <c r="G636" i="3"/>
  <c r="G635" i="3"/>
  <c r="G634" i="3"/>
  <c r="G633" i="3"/>
  <c r="G632" i="3"/>
  <c r="G631" i="3"/>
  <c r="G630" i="3"/>
  <c r="G629" i="3"/>
  <c r="G628" i="3"/>
  <c r="G627" i="3"/>
  <c r="G626" i="3"/>
  <c r="G625" i="3"/>
  <c r="G624" i="3"/>
  <c r="G623" i="3"/>
  <c r="G622" i="3"/>
  <c r="G621" i="3"/>
  <c r="G620" i="3"/>
  <c r="G619" i="3"/>
  <c r="G618" i="3"/>
  <c r="G617" i="3"/>
  <c r="G616" i="3"/>
  <c r="G615" i="3"/>
  <c r="G614" i="3"/>
  <c r="G613" i="3"/>
  <c r="G612" i="3"/>
  <c r="G611" i="3"/>
  <c r="G610" i="3"/>
  <c r="G609" i="3"/>
  <c r="G608" i="3"/>
  <c r="G607" i="3"/>
  <c r="G606" i="3"/>
  <c r="G605" i="3"/>
  <c r="G604" i="3"/>
  <c r="G603" i="3"/>
  <c r="G602" i="3"/>
  <c r="G601" i="3"/>
  <c r="G600" i="3"/>
  <c r="G599" i="3"/>
  <c r="G598" i="3"/>
  <c r="G597" i="3"/>
  <c r="G596" i="3"/>
  <c r="G595" i="3"/>
  <c r="G594" i="3"/>
  <c r="G593" i="3"/>
  <c r="G592" i="3"/>
  <c r="G591" i="3"/>
  <c r="G590" i="3"/>
  <c r="G589" i="3"/>
  <c r="G588" i="3"/>
  <c r="G587" i="3"/>
  <c r="G586" i="3"/>
  <c r="G585" i="3"/>
  <c r="G584" i="3"/>
  <c r="G583" i="3"/>
  <c r="G582" i="3"/>
  <c r="G581" i="3"/>
  <c r="G580" i="3"/>
  <c r="G579" i="3"/>
  <c r="G578" i="3"/>
  <c r="G577" i="3"/>
  <c r="G576" i="3"/>
  <c r="G575" i="3"/>
  <c r="G574" i="3"/>
  <c r="G573" i="3"/>
  <c r="G572" i="3"/>
  <c r="G571" i="3"/>
  <c r="G570" i="3"/>
  <c r="G73" i="3"/>
  <c r="A161" i="3" l="1"/>
  <c r="G161" i="3" s="1"/>
  <c r="B162" i="3"/>
  <c r="B489" i="3"/>
  <c r="A488" i="3"/>
  <c r="B418" i="3"/>
  <c r="A417" i="3"/>
  <c r="G417" i="3" s="1"/>
  <c r="B233" i="3"/>
  <c r="A232" i="3"/>
  <c r="G232" i="3" s="1"/>
  <c r="B560" i="3"/>
  <c r="A559" i="3"/>
  <c r="A347" i="3"/>
  <c r="G347" i="3" s="1"/>
  <c r="B348" i="3"/>
  <c r="E145" i="1"/>
  <c r="D145" i="1"/>
  <c r="A79" i="3"/>
  <c r="G79" i="3" s="1"/>
  <c r="B80" i="3"/>
  <c r="K192" i="15"/>
  <c r="K166" i="15"/>
  <c r="H192" i="15"/>
  <c r="I192" i="15"/>
  <c r="I28" i="15" s="1"/>
  <c r="H179" i="15"/>
  <c r="J179" i="15"/>
  <c r="J27" i="15" s="1"/>
  <c r="H166" i="15"/>
  <c r="I179" i="15"/>
  <c r="I166" i="15"/>
  <c r="A6" i="3"/>
  <c r="G6" i="3" s="1"/>
  <c r="B7" i="3"/>
  <c r="J8" i="20"/>
  <c r="K8" i="20"/>
  <c r="A76" i="3"/>
  <c r="G76" i="3" s="1"/>
  <c r="A77" i="3"/>
  <c r="G77" i="3" s="1"/>
  <c r="A78" i="3"/>
  <c r="G78" i="3" s="1"/>
  <c r="B10" i="2"/>
  <c r="C10" i="2"/>
  <c r="A6" i="2"/>
  <c r="A7" i="2" s="1"/>
  <c r="A8" i="2" s="1"/>
  <c r="A9" i="2" s="1"/>
  <c r="A10" i="2" s="1"/>
  <c r="A11" i="2" s="1"/>
  <c r="A12" i="2" s="1"/>
  <c r="A13" i="2" s="1"/>
  <c r="B234" i="3" l="1"/>
  <c r="A233" i="3"/>
  <c r="G233" i="3" s="1"/>
  <c r="B490" i="3"/>
  <c r="A489" i="3"/>
  <c r="B419" i="3"/>
  <c r="A418" i="3"/>
  <c r="G418" i="3" s="1"/>
  <c r="B163" i="3"/>
  <c r="A162" i="3"/>
  <c r="G162" i="3" s="1"/>
  <c r="B349" i="3"/>
  <c r="A348" i="3"/>
  <c r="G348" i="3" s="1"/>
  <c r="B561" i="3"/>
  <c r="A560" i="3"/>
  <c r="F145" i="1"/>
  <c r="A80" i="3"/>
  <c r="G80" i="3" s="1"/>
  <c r="B81" i="3"/>
  <c r="H28" i="15"/>
  <c r="I27" i="15"/>
  <c r="K28" i="15"/>
  <c r="J28" i="15"/>
  <c r="H27" i="15"/>
  <c r="B8" i="3"/>
  <c r="A7" i="3"/>
  <c r="L8" i="20"/>
  <c r="B562" i="3" l="1"/>
  <c r="A561" i="3"/>
  <c r="B164" i="3"/>
  <c r="A163" i="3"/>
  <c r="G163" i="3" s="1"/>
  <c r="A349" i="3"/>
  <c r="G349" i="3" s="1"/>
  <c r="B350" i="3"/>
  <c r="B420" i="3"/>
  <c r="A419" i="3"/>
  <c r="G419" i="3" s="1"/>
  <c r="B491" i="3"/>
  <c r="A490" i="3"/>
  <c r="B235" i="3"/>
  <c r="A234" i="3"/>
  <c r="G234" i="3" s="1"/>
  <c r="A81" i="3"/>
  <c r="G81" i="3" s="1"/>
  <c r="B82" i="3"/>
  <c r="G7" i="3"/>
  <c r="A8" i="3"/>
  <c r="B9" i="3"/>
  <c r="C18" i="2"/>
  <c r="B18" i="2"/>
  <c r="B236" i="3" l="1"/>
  <c r="A235" i="3"/>
  <c r="G235" i="3" s="1"/>
  <c r="B492" i="3"/>
  <c r="A491" i="3"/>
  <c r="B421" i="3"/>
  <c r="A420" i="3"/>
  <c r="G420" i="3" s="1"/>
  <c r="A350" i="3"/>
  <c r="G350" i="3" s="1"/>
  <c r="B351" i="3"/>
  <c r="A164" i="3"/>
  <c r="G164" i="3" s="1"/>
  <c r="B165" i="3"/>
  <c r="B563" i="3"/>
  <c r="A562" i="3"/>
  <c r="G8" i="3"/>
  <c r="B83" i="3"/>
  <c r="A82" i="3"/>
  <c r="G82" i="3" s="1"/>
  <c r="B10" i="3"/>
  <c r="A9" i="3"/>
  <c r="B166" i="3" l="1"/>
  <c r="A165" i="3"/>
  <c r="G165" i="3" s="1"/>
  <c r="B352" i="3"/>
  <c r="A351" i="3"/>
  <c r="G351" i="3" s="1"/>
  <c r="B493" i="3"/>
  <c r="A492" i="3"/>
  <c r="B564" i="3"/>
  <c r="A563" i="3"/>
  <c r="B422" i="3"/>
  <c r="A421" i="3"/>
  <c r="G421" i="3" s="1"/>
  <c r="A236" i="3"/>
  <c r="G236" i="3" s="1"/>
  <c r="B237" i="3"/>
  <c r="A83" i="3"/>
  <c r="B84" i="3"/>
  <c r="G9" i="3"/>
  <c r="A10" i="3"/>
  <c r="B11" i="3"/>
  <c r="I10" i="2"/>
  <c r="I9" i="2"/>
  <c r="I8" i="2"/>
  <c r="I7" i="2"/>
  <c r="I6" i="2"/>
  <c r="B238" i="3" l="1"/>
  <c r="A237" i="3"/>
  <c r="G237" i="3" s="1"/>
  <c r="B423" i="3"/>
  <c r="A422" i="3"/>
  <c r="G422" i="3" s="1"/>
  <c r="B565" i="3"/>
  <c r="A564" i="3"/>
  <c r="A352" i="3"/>
  <c r="B353" i="3"/>
  <c r="B494" i="3"/>
  <c r="A493" i="3"/>
  <c r="B167" i="3"/>
  <c r="A166" i="3"/>
  <c r="G166" i="3" s="1"/>
  <c r="G10" i="3"/>
  <c r="B85" i="3"/>
  <c r="A84" i="3"/>
  <c r="A11" i="3"/>
  <c r="B12" i="3"/>
  <c r="C21" i="2"/>
  <c r="C36" i="2"/>
  <c r="C35" i="2"/>
  <c r="C34" i="2"/>
  <c r="C33" i="2"/>
  <c r="C32" i="2"/>
  <c r="C31" i="2"/>
  <c r="C30" i="2"/>
  <c r="C29" i="2"/>
  <c r="C28" i="2"/>
  <c r="C27" i="2"/>
  <c r="C26" i="2"/>
  <c r="C24" i="2"/>
  <c r="C23" i="2"/>
  <c r="C22" i="2"/>
  <c r="C20" i="2"/>
  <c r="C19" i="2"/>
  <c r="C17" i="2"/>
  <c r="C16" i="2"/>
  <c r="C14" i="2"/>
  <c r="C13" i="2"/>
  <c r="C12" i="2"/>
  <c r="C11" i="2"/>
  <c r="C9" i="2"/>
  <c r="C8" i="2"/>
  <c r="C7" i="2"/>
  <c r="C6" i="2"/>
  <c r="B21" i="2"/>
  <c r="B36" i="2"/>
  <c r="B35" i="2"/>
  <c r="B34" i="2"/>
  <c r="B33" i="2"/>
  <c r="B32" i="2"/>
  <c r="B31" i="2"/>
  <c r="B30" i="2"/>
  <c r="B29" i="2"/>
  <c r="B28" i="2"/>
  <c r="B27" i="2"/>
  <c r="B26" i="2"/>
  <c r="B24" i="2"/>
  <c r="B23" i="2"/>
  <c r="B22" i="2"/>
  <c r="B20" i="2"/>
  <c r="B19" i="2"/>
  <c r="B17" i="2"/>
  <c r="B16" i="2"/>
  <c r="B14" i="2"/>
  <c r="B13" i="2"/>
  <c r="B12" i="2"/>
  <c r="B11" i="2"/>
  <c r="B9" i="2"/>
  <c r="B8" i="2"/>
  <c r="B7" i="2"/>
  <c r="B6" i="2"/>
  <c r="B168" i="3" l="1"/>
  <c r="A167" i="3"/>
  <c r="G167" i="3" s="1"/>
  <c r="B354" i="3"/>
  <c r="A353" i="3"/>
  <c r="A494" i="3"/>
  <c r="B495" i="3"/>
  <c r="A565" i="3"/>
  <c r="B566" i="3"/>
  <c r="B424" i="3"/>
  <c r="A423" i="3"/>
  <c r="A238" i="3"/>
  <c r="G238" i="3" s="1"/>
  <c r="B239" i="3"/>
  <c r="G11" i="3"/>
  <c r="B86" i="3"/>
  <c r="A85" i="3"/>
  <c r="G85" i="3" s="1"/>
  <c r="A12" i="3"/>
  <c r="B13" i="3"/>
  <c r="A495" i="3" l="1"/>
  <c r="B496" i="3"/>
  <c r="B425" i="3"/>
  <c r="A424" i="3"/>
  <c r="A566" i="3"/>
  <c r="B567" i="3"/>
  <c r="A239" i="3"/>
  <c r="G239" i="3" s="1"/>
  <c r="B240" i="3"/>
  <c r="A354" i="3"/>
  <c r="B355" i="3"/>
  <c r="B169" i="3"/>
  <c r="A168" i="3"/>
  <c r="G168" i="3" s="1"/>
  <c r="B87" i="3"/>
  <c r="A86" i="3"/>
  <c r="G86" i="3" s="1"/>
  <c r="G12" i="3"/>
  <c r="A13" i="3"/>
  <c r="B14" i="3"/>
  <c r="G1328" i="3"/>
  <c r="G1327" i="3"/>
  <c r="G1326" i="3"/>
  <c r="G1325" i="3"/>
  <c r="G1324" i="3"/>
  <c r="G1323" i="3"/>
  <c r="G1322" i="3"/>
  <c r="G1321" i="3"/>
  <c r="G1320" i="3"/>
  <c r="G1319" i="3"/>
  <c r="G1318" i="3"/>
  <c r="G1317" i="3"/>
  <c r="G1316" i="3"/>
  <c r="G1315" i="3"/>
  <c r="G1314" i="3"/>
  <c r="G1313" i="3"/>
  <c r="G1312" i="3"/>
  <c r="G1311" i="3"/>
  <c r="G1310" i="3"/>
  <c r="G1309" i="3"/>
  <c r="G1308" i="3"/>
  <c r="G1307" i="3"/>
  <c r="G1306" i="3"/>
  <c r="G1305" i="3"/>
  <c r="G1304" i="3"/>
  <c r="G1303" i="3"/>
  <c r="G1302" i="3"/>
  <c r="G1301" i="3"/>
  <c r="G1300" i="3"/>
  <c r="G1299" i="3"/>
  <c r="G1298" i="3"/>
  <c r="G1297" i="3"/>
  <c r="G1296" i="3"/>
  <c r="G1295" i="3"/>
  <c r="G1294" i="3"/>
  <c r="G1293" i="3"/>
  <c r="G1292" i="3"/>
  <c r="G1291" i="3"/>
  <c r="G1290" i="3"/>
  <c r="G1289" i="3"/>
  <c r="G1288" i="3"/>
  <c r="G1287" i="3"/>
  <c r="G1286" i="3"/>
  <c r="G1285" i="3"/>
  <c r="G1284" i="3"/>
  <c r="G1283" i="3"/>
  <c r="G1282" i="3"/>
  <c r="G1281" i="3"/>
  <c r="G1280" i="3"/>
  <c r="G1279" i="3"/>
  <c r="G1278" i="3"/>
  <c r="G1277" i="3"/>
  <c r="G1276" i="3"/>
  <c r="G1275" i="3"/>
  <c r="G1274" i="3"/>
  <c r="G1273" i="3"/>
  <c r="G1272" i="3"/>
  <c r="G1271" i="3"/>
  <c r="G1270" i="3"/>
  <c r="G1269" i="3"/>
  <c r="G1268" i="3"/>
  <c r="G1267" i="3"/>
  <c r="G1266" i="3"/>
  <c r="G1265" i="3"/>
  <c r="G1264" i="3"/>
  <c r="G1263" i="3"/>
  <c r="G1262" i="3"/>
  <c r="G1261" i="3"/>
  <c r="G1260" i="3"/>
  <c r="G1259" i="3"/>
  <c r="G1258" i="3"/>
  <c r="G1257" i="3"/>
  <c r="G1256" i="3"/>
  <c r="G1255" i="3"/>
  <c r="G1254" i="3"/>
  <c r="G1253" i="3"/>
  <c r="G1252" i="3"/>
  <c r="G1251" i="3"/>
  <c r="G1250" i="3"/>
  <c r="G1249" i="3"/>
  <c r="G1248" i="3"/>
  <c r="G1247" i="3"/>
  <c r="G1246" i="3"/>
  <c r="G1245" i="3"/>
  <c r="G1244" i="3"/>
  <c r="G1243" i="3"/>
  <c r="G1242" i="3"/>
  <c r="G1241" i="3"/>
  <c r="G1240" i="3"/>
  <c r="G1239" i="3"/>
  <c r="G1238" i="3"/>
  <c r="G1237" i="3"/>
  <c r="G1236" i="3"/>
  <c r="G1235" i="3"/>
  <c r="G1234" i="3"/>
  <c r="G1233" i="3"/>
  <c r="G1232" i="3"/>
  <c r="G1231" i="3"/>
  <c r="G1230" i="3"/>
  <c r="G1229" i="3"/>
  <c r="G1228" i="3"/>
  <c r="G1227" i="3"/>
  <c r="G1226" i="3"/>
  <c r="G1225" i="3"/>
  <c r="G1224" i="3"/>
  <c r="G1223" i="3"/>
  <c r="G1222" i="3"/>
  <c r="G1221" i="3"/>
  <c r="G1220" i="3"/>
  <c r="G1219" i="3"/>
  <c r="G1218" i="3"/>
  <c r="G1217" i="3"/>
  <c r="G1216" i="3"/>
  <c r="G1215" i="3"/>
  <c r="G1214" i="3"/>
  <c r="G1213" i="3"/>
  <c r="G1212" i="3"/>
  <c r="G1211" i="3"/>
  <c r="G1210" i="3"/>
  <c r="G1209" i="3"/>
  <c r="G1208" i="3"/>
  <c r="G1207" i="3"/>
  <c r="G1206" i="3"/>
  <c r="G1205" i="3"/>
  <c r="G1204" i="3"/>
  <c r="G1203" i="3"/>
  <c r="G1202" i="3"/>
  <c r="G1201" i="3"/>
  <c r="G1200" i="3"/>
  <c r="G1199" i="3"/>
  <c r="G1198" i="3"/>
  <c r="G1197" i="3"/>
  <c r="G1196" i="3"/>
  <c r="G1195" i="3"/>
  <c r="G1194" i="3"/>
  <c r="G1193" i="3"/>
  <c r="G1192" i="3"/>
  <c r="G1191" i="3"/>
  <c r="G1190" i="3"/>
  <c r="G1189" i="3"/>
  <c r="G1188" i="3"/>
  <c r="G1187" i="3"/>
  <c r="G1186" i="3"/>
  <c r="G1185" i="3"/>
  <c r="G1184" i="3"/>
  <c r="G1183" i="3"/>
  <c r="G1182" i="3"/>
  <c r="G1181" i="3"/>
  <c r="G1180" i="3"/>
  <c r="G1179" i="3"/>
  <c r="G1178" i="3"/>
  <c r="G1177" i="3"/>
  <c r="G1176" i="3"/>
  <c r="G1175" i="3"/>
  <c r="G1174" i="3"/>
  <c r="G1173" i="3"/>
  <c r="G1172" i="3"/>
  <c r="G1171" i="3"/>
  <c r="G1170" i="3"/>
  <c r="G1169" i="3"/>
  <c r="G1168" i="3"/>
  <c r="G1167" i="3"/>
  <c r="G1166" i="3"/>
  <c r="G1165" i="3"/>
  <c r="G1164" i="3"/>
  <c r="G1163" i="3"/>
  <c r="G1162" i="3"/>
  <c r="G1161" i="3"/>
  <c r="G1160" i="3"/>
  <c r="G1159" i="3"/>
  <c r="G1158" i="3"/>
  <c r="G1157" i="3"/>
  <c r="G1156" i="3"/>
  <c r="G1155" i="3"/>
  <c r="G1154" i="3"/>
  <c r="G1153" i="3"/>
  <c r="G1152" i="3"/>
  <c r="G1151" i="3"/>
  <c r="G1150" i="3"/>
  <c r="G1149" i="3"/>
  <c r="G1148" i="3"/>
  <c r="G1147" i="3"/>
  <c r="G1146" i="3"/>
  <c r="G1145" i="3"/>
  <c r="G1144" i="3"/>
  <c r="G1143" i="3"/>
  <c r="G1142" i="3"/>
  <c r="G1141" i="3"/>
  <c r="G1140" i="3"/>
  <c r="G1139" i="3"/>
  <c r="G1138" i="3"/>
  <c r="G1137" i="3"/>
  <c r="G1136" i="3"/>
  <c r="G1135" i="3"/>
  <c r="G1134" i="3"/>
  <c r="G1133" i="3"/>
  <c r="G1132" i="3"/>
  <c r="G1131" i="3"/>
  <c r="G1130" i="3"/>
  <c r="G1129" i="3"/>
  <c r="G1128" i="3"/>
  <c r="G1127" i="3"/>
  <c r="G1126" i="3"/>
  <c r="G1125" i="3"/>
  <c r="G1124" i="3"/>
  <c r="G1123" i="3"/>
  <c r="G1122" i="3"/>
  <c r="G1121" i="3"/>
  <c r="G1120" i="3"/>
  <c r="G1119" i="3"/>
  <c r="G1118" i="3"/>
  <c r="G1117" i="3"/>
  <c r="G1116" i="3"/>
  <c r="G1115" i="3"/>
  <c r="G1114" i="3"/>
  <c r="G1113" i="3"/>
  <c r="G1112" i="3"/>
  <c r="G1111" i="3"/>
  <c r="G1110" i="3"/>
  <c r="G1109" i="3"/>
  <c r="G1108" i="3"/>
  <c r="G1107" i="3"/>
  <c r="G1106" i="3"/>
  <c r="G1105" i="3"/>
  <c r="G1104" i="3"/>
  <c r="G1103" i="3"/>
  <c r="G1102" i="3"/>
  <c r="G1101" i="3"/>
  <c r="G1100" i="3"/>
  <c r="G1099" i="3"/>
  <c r="G1098" i="3"/>
  <c r="G1097" i="3"/>
  <c r="G1096" i="3"/>
  <c r="G1095" i="3"/>
  <c r="G1094" i="3"/>
  <c r="G1093" i="3"/>
  <c r="G1092" i="3"/>
  <c r="G1091" i="3"/>
  <c r="G1090" i="3"/>
  <c r="G1089" i="3"/>
  <c r="G1088" i="3"/>
  <c r="G1087" i="3"/>
  <c r="G1086" i="3"/>
  <c r="G1085" i="3"/>
  <c r="G1084" i="3"/>
  <c r="G1083" i="3"/>
  <c r="G1082" i="3"/>
  <c r="G1081" i="3"/>
  <c r="G1080" i="3"/>
  <c r="G1079" i="3"/>
  <c r="G1078" i="3"/>
  <c r="G1077" i="3"/>
  <c r="G1076" i="3"/>
  <c r="G1075" i="3"/>
  <c r="G1074" i="3"/>
  <c r="G1073" i="3"/>
  <c r="G1072" i="3"/>
  <c r="G1071" i="3"/>
  <c r="G1070" i="3"/>
  <c r="G1069" i="3"/>
  <c r="G1068" i="3"/>
  <c r="G1067" i="3"/>
  <c r="G1066" i="3"/>
  <c r="G1065" i="3"/>
  <c r="G1064" i="3"/>
  <c r="G1063" i="3"/>
  <c r="G1062" i="3"/>
  <c r="G1061" i="3"/>
  <c r="G1060" i="3"/>
  <c r="G1059" i="3"/>
  <c r="G1058" i="3"/>
  <c r="G1057" i="3"/>
  <c r="G1056" i="3"/>
  <c r="G1055" i="3"/>
  <c r="G1054" i="3"/>
  <c r="G1053" i="3"/>
  <c r="G1052" i="3"/>
  <c r="G1051" i="3"/>
  <c r="G1050" i="3"/>
  <c r="G1049" i="3"/>
  <c r="G1048" i="3"/>
  <c r="G1047" i="3"/>
  <c r="G1046" i="3"/>
  <c r="G1045" i="3"/>
  <c r="G1044" i="3"/>
  <c r="G1043" i="3"/>
  <c r="G1042" i="3"/>
  <c r="G1041" i="3"/>
  <c r="G1040" i="3"/>
  <c r="G1039" i="3"/>
  <c r="G1038" i="3"/>
  <c r="G1037" i="3"/>
  <c r="G1036" i="3"/>
  <c r="G1035" i="3"/>
  <c r="G1034" i="3"/>
  <c r="G1033" i="3"/>
  <c r="G1032" i="3"/>
  <c r="G1031" i="3"/>
  <c r="G1030" i="3"/>
  <c r="G1029" i="3"/>
  <c r="G1028" i="3"/>
  <c r="G1027" i="3"/>
  <c r="G1026" i="3"/>
  <c r="G1025" i="3"/>
  <c r="G1024" i="3"/>
  <c r="G1023" i="3"/>
  <c r="G1022" i="3"/>
  <c r="G1021" i="3"/>
  <c r="G1020" i="3"/>
  <c r="G1019" i="3"/>
  <c r="G1018" i="3"/>
  <c r="G1017" i="3"/>
  <c r="G1016" i="3"/>
  <c r="G1015" i="3"/>
  <c r="G1014" i="3"/>
  <c r="G1013" i="3"/>
  <c r="G1012" i="3"/>
  <c r="G1011" i="3"/>
  <c r="G1010" i="3"/>
  <c r="G1009" i="3"/>
  <c r="G1008" i="3"/>
  <c r="G1007" i="3"/>
  <c r="G1006" i="3"/>
  <c r="G1005" i="3"/>
  <c r="G1004" i="3"/>
  <c r="G1003" i="3"/>
  <c r="G1002" i="3"/>
  <c r="G1001" i="3"/>
  <c r="G1000" i="3"/>
  <c r="G999" i="3"/>
  <c r="G998" i="3"/>
  <c r="G997" i="3"/>
  <c r="G996" i="3"/>
  <c r="G995" i="3"/>
  <c r="G994" i="3"/>
  <c r="G993" i="3"/>
  <c r="G992" i="3"/>
  <c r="G991" i="3"/>
  <c r="G990" i="3"/>
  <c r="G989" i="3"/>
  <c r="G988" i="3"/>
  <c r="G987" i="3"/>
  <c r="G986" i="3"/>
  <c r="G985" i="3"/>
  <c r="G984" i="3"/>
  <c r="G983" i="3"/>
  <c r="G982" i="3"/>
  <c r="G981" i="3"/>
  <c r="G980" i="3"/>
  <c r="G979" i="3"/>
  <c r="G978" i="3"/>
  <c r="G977" i="3"/>
  <c r="G976" i="3"/>
  <c r="G975" i="3"/>
  <c r="G974" i="3"/>
  <c r="G973" i="3"/>
  <c r="G972" i="3"/>
  <c r="G971" i="3"/>
  <c r="G970" i="3"/>
  <c r="G969" i="3"/>
  <c r="G968" i="3"/>
  <c r="G967" i="3"/>
  <c r="G966" i="3"/>
  <c r="G965" i="3"/>
  <c r="G964" i="3"/>
  <c r="G963" i="3"/>
  <c r="G962" i="3"/>
  <c r="G961" i="3"/>
  <c r="G960" i="3"/>
  <c r="G959" i="3"/>
  <c r="G958" i="3"/>
  <c r="G957" i="3"/>
  <c r="G956" i="3"/>
  <c r="G955" i="3"/>
  <c r="G954" i="3"/>
  <c r="G953" i="3"/>
  <c r="G952" i="3"/>
  <c r="G951" i="3"/>
  <c r="G950" i="3"/>
  <c r="G949" i="3"/>
  <c r="G948" i="3"/>
  <c r="G947" i="3"/>
  <c r="G946" i="3"/>
  <c r="G945" i="3"/>
  <c r="G944" i="3"/>
  <c r="G943" i="3"/>
  <c r="G942" i="3"/>
  <c r="G941" i="3"/>
  <c r="G940" i="3"/>
  <c r="G939" i="3"/>
  <c r="G938" i="3"/>
  <c r="G937" i="3"/>
  <c r="G936" i="3"/>
  <c r="G935" i="3"/>
  <c r="G934" i="3"/>
  <c r="G933" i="3"/>
  <c r="G932" i="3"/>
  <c r="G931" i="3"/>
  <c r="G930" i="3"/>
  <c r="G929" i="3"/>
  <c r="G928" i="3"/>
  <c r="G927" i="3"/>
  <c r="G926" i="3"/>
  <c r="G925" i="3"/>
  <c r="G924" i="3"/>
  <c r="G923" i="3"/>
  <c r="G922" i="3"/>
  <c r="G921" i="3"/>
  <c r="G920" i="3"/>
  <c r="G919" i="3"/>
  <c r="G918" i="3"/>
  <c r="G917" i="3"/>
  <c r="G916" i="3"/>
  <c r="G915" i="3"/>
  <c r="G914" i="3"/>
  <c r="G913" i="3"/>
  <c r="G912" i="3"/>
  <c r="G911" i="3"/>
  <c r="G910" i="3"/>
  <c r="G909" i="3"/>
  <c r="G908" i="3"/>
  <c r="G907" i="3"/>
  <c r="G906" i="3"/>
  <c r="G905" i="3"/>
  <c r="G904" i="3"/>
  <c r="G903" i="3"/>
  <c r="G902" i="3"/>
  <c r="G901" i="3"/>
  <c r="G900" i="3"/>
  <c r="G899" i="3"/>
  <c r="G898" i="3"/>
  <c r="G897" i="3"/>
  <c r="G896" i="3"/>
  <c r="G895" i="3"/>
  <c r="G894" i="3"/>
  <c r="G893" i="3"/>
  <c r="G892" i="3"/>
  <c r="G891" i="3"/>
  <c r="G890" i="3"/>
  <c r="G889" i="3"/>
  <c r="G888" i="3"/>
  <c r="G887" i="3"/>
  <c r="G886" i="3"/>
  <c r="G885" i="3"/>
  <c r="G884" i="3"/>
  <c r="G883" i="3"/>
  <c r="G882" i="3"/>
  <c r="G881" i="3"/>
  <c r="G880" i="3"/>
  <c r="G879" i="3"/>
  <c r="G878" i="3"/>
  <c r="G877" i="3"/>
  <c r="G876" i="3"/>
  <c r="G875" i="3"/>
  <c r="G874" i="3"/>
  <c r="G873" i="3"/>
  <c r="G872" i="3"/>
  <c r="G871" i="3"/>
  <c r="G870" i="3"/>
  <c r="G869" i="3"/>
  <c r="G868" i="3"/>
  <c r="G867" i="3"/>
  <c r="G866" i="3"/>
  <c r="G865" i="3"/>
  <c r="G864" i="3"/>
  <c r="G863" i="3"/>
  <c r="G862" i="3"/>
  <c r="G861" i="3"/>
  <c r="G860" i="3"/>
  <c r="G859" i="3"/>
  <c r="G858" i="3"/>
  <c r="G857" i="3"/>
  <c r="G856" i="3"/>
  <c r="G855" i="3"/>
  <c r="G854" i="3"/>
  <c r="G853" i="3"/>
  <c r="G852" i="3"/>
  <c r="G851" i="3"/>
  <c r="G850" i="3"/>
  <c r="G849" i="3"/>
  <c r="G848" i="3"/>
  <c r="G847" i="3"/>
  <c r="G846" i="3"/>
  <c r="G845" i="3"/>
  <c r="G844" i="3"/>
  <c r="G843" i="3"/>
  <c r="G842" i="3"/>
  <c r="G841" i="3"/>
  <c r="G840" i="3"/>
  <c r="G839" i="3"/>
  <c r="G838" i="3"/>
  <c r="G837" i="3"/>
  <c r="G836" i="3"/>
  <c r="G835" i="3"/>
  <c r="G834" i="3"/>
  <c r="G833" i="3"/>
  <c r="G832" i="3"/>
  <c r="G831" i="3"/>
  <c r="G830" i="3"/>
  <c r="G829" i="3"/>
  <c r="G828" i="3"/>
  <c r="G827" i="3"/>
  <c r="G826" i="3"/>
  <c r="G825" i="3"/>
  <c r="G824" i="3"/>
  <c r="G823" i="3"/>
  <c r="G822" i="3"/>
  <c r="G821" i="3"/>
  <c r="G820" i="3"/>
  <c r="G819" i="3"/>
  <c r="G818" i="3"/>
  <c r="G817" i="3"/>
  <c r="G816" i="3"/>
  <c r="G815" i="3"/>
  <c r="G814" i="3"/>
  <c r="G813" i="3"/>
  <c r="G812" i="3"/>
  <c r="G811" i="3"/>
  <c r="G810" i="3"/>
  <c r="G809" i="3"/>
  <c r="G808" i="3"/>
  <c r="G807" i="3"/>
  <c r="G806" i="3"/>
  <c r="G805" i="3"/>
  <c r="G804" i="3"/>
  <c r="G803" i="3"/>
  <c r="G802" i="3"/>
  <c r="G801" i="3"/>
  <c r="G800" i="3"/>
  <c r="G799" i="3"/>
  <c r="G798" i="3"/>
  <c r="G797" i="3"/>
  <c r="G796" i="3"/>
  <c r="G795" i="3"/>
  <c r="G794" i="3"/>
  <c r="G793" i="3"/>
  <c r="G792" i="3"/>
  <c r="G791" i="3"/>
  <c r="G790" i="3"/>
  <c r="G789" i="3"/>
  <c r="G788" i="3"/>
  <c r="G787" i="3"/>
  <c r="G786" i="3"/>
  <c r="G785" i="3"/>
  <c r="G784" i="3"/>
  <c r="G783" i="3"/>
  <c r="G782" i="3"/>
  <c r="G781" i="3"/>
  <c r="G780" i="3"/>
  <c r="G779" i="3"/>
  <c r="G778" i="3"/>
  <c r="G777" i="3"/>
  <c r="G776" i="3"/>
  <c r="G775" i="3"/>
  <c r="G774" i="3"/>
  <c r="G773" i="3"/>
  <c r="G772" i="3"/>
  <c r="G771" i="3"/>
  <c r="G770" i="3"/>
  <c r="G769" i="3"/>
  <c r="G768" i="3"/>
  <c r="G767" i="3"/>
  <c r="G766" i="3"/>
  <c r="G765" i="3"/>
  <c r="G764" i="3"/>
  <c r="G763" i="3"/>
  <c r="G762" i="3"/>
  <c r="G761" i="3"/>
  <c r="G760" i="3"/>
  <c r="G759" i="3"/>
  <c r="G758" i="3"/>
  <c r="G757" i="3"/>
  <c r="G756" i="3"/>
  <c r="G755" i="3"/>
  <c r="G754" i="3"/>
  <c r="G753" i="3"/>
  <c r="G752" i="3"/>
  <c r="G751" i="3"/>
  <c r="G750" i="3"/>
  <c r="G749" i="3"/>
  <c r="G748" i="3"/>
  <c r="G747" i="3"/>
  <c r="G746" i="3"/>
  <c r="G745" i="3"/>
  <c r="G744" i="3"/>
  <c r="G743" i="3"/>
  <c r="G742" i="3"/>
  <c r="G741" i="3"/>
  <c r="G740" i="3"/>
  <c r="G739" i="3"/>
  <c r="G738" i="3"/>
  <c r="G737" i="3"/>
  <c r="G736" i="3"/>
  <c r="G735" i="3"/>
  <c r="G734" i="3"/>
  <c r="G733" i="3"/>
  <c r="G732" i="3"/>
  <c r="G731" i="3"/>
  <c r="G730" i="3"/>
  <c r="G729" i="3"/>
  <c r="G728" i="3"/>
  <c r="G727" i="3"/>
  <c r="G726" i="3"/>
  <c r="G725" i="3"/>
  <c r="G724" i="3"/>
  <c r="G723" i="3"/>
  <c r="G722" i="3"/>
  <c r="G721" i="3"/>
  <c r="G720" i="3"/>
  <c r="A567" i="3" l="1"/>
  <c r="B568" i="3"/>
  <c r="B356" i="3"/>
  <c r="A356" i="3" s="1"/>
  <c r="A355" i="3"/>
  <c r="B241" i="3"/>
  <c r="A240" i="3"/>
  <c r="G240" i="3" s="1"/>
  <c r="A169" i="3"/>
  <c r="G169" i="3" s="1"/>
  <c r="B170" i="3"/>
  <c r="B426" i="3"/>
  <c r="A425" i="3"/>
  <c r="A496" i="3"/>
  <c r="B497" i="3"/>
  <c r="G13" i="3"/>
  <c r="B88" i="3"/>
  <c r="A87" i="3"/>
  <c r="G87" i="3" s="1"/>
  <c r="A14" i="3"/>
  <c r="B15" i="3"/>
  <c r="A426" i="3" l="1"/>
  <c r="B427" i="3"/>
  <c r="A427" i="3" s="1"/>
  <c r="B498" i="3"/>
  <c r="A498" i="3" s="1"/>
  <c r="A497" i="3"/>
  <c r="A170" i="3"/>
  <c r="G170" i="3" s="1"/>
  <c r="B171" i="3"/>
  <c r="A241" i="3"/>
  <c r="G241" i="3" s="1"/>
  <c r="B242" i="3"/>
  <c r="A568" i="3"/>
  <c r="B569" i="3"/>
  <c r="A569" i="3" s="1"/>
  <c r="B89" i="3"/>
  <c r="A88" i="3"/>
  <c r="G88" i="3" s="1"/>
  <c r="G14" i="3"/>
  <c r="A15" i="3"/>
  <c r="B16" i="3"/>
  <c r="F144" i="17"/>
  <c r="B172" i="3" l="1"/>
  <c r="A171" i="3"/>
  <c r="G171" i="3" s="1"/>
  <c r="A242" i="3"/>
  <c r="B243" i="3"/>
  <c r="G15" i="3"/>
  <c r="B90" i="3"/>
  <c r="A89" i="3"/>
  <c r="G89" i="3" s="1"/>
  <c r="A16" i="3"/>
  <c r="B17" i="3"/>
  <c r="E144" i="17"/>
  <c r="B244" i="3" l="1"/>
  <c r="A243" i="3"/>
  <c r="G243" i="3" s="1"/>
  <c r="A172" i="3"/>
  <c r="G172" i="3" s="1"/>
  <c r="B173" i="3"/>
  <c r="G16" i="3"/>
  <c r="B91" i="3"/>
  <c r="A90" i="3"/>
  <c r="G90" i="3" s="1"/>
  <c r="A17" i="3"/>
  <c r="G17" i="3" s="1"/>
  <c r="B18" i="3"/>
  <c r="B202" i="17"/>
  <c r="D202" i="17" s="1"/>
  <c r="A203" i="17"/>
  <c r="B174" i="17"/>
  <c r="D174" i="17" s="1"/>
  <c r="A175" i="17"/>
  <c r="E171" i="17"/>
  <c r="B146" i="17"/>
  <c r="D146" i="17" s="1"/>
  <c r="A147" i="17"/>
  <c r="B174" i="3" l="1"/>
  <c r="A173" i="3"/>
  <c r="G173" i="3" s="1"/>
  <c r="B245" i="3"/>
  <c r="A244" i="3"/>
  <c r="G244" i="3" s="1"/>
  <c r="B92" i="3"/>
  <c r="A91" i="3"/>
  <c r="G91" i="3" s="1"/>
  <c r="B19" i="3"/>
  <c r="A18" i="3"/>
  <c r="E202" i="17"/>
  <c r="B203" i="17"/>
  <c r="D203" i="17" s="1"/>
  <c r="A204" i="17"/>
  <c r="E174" i="17"/>
  <c r="B175" i="17"/>
  <c r="D175" i="17" s="1"/>
  <c r="A176" i="17"/>
  <c r="B147" i="17"/>
  <c r="D147" i="17" s="1"/>
  <c r="A148" i="17"/>
  <c r="E146" i="17"/>
  <c r="B12" i="17"/>
  <c r="B246" i="3" l="1"/>
  <c r="A245" i="3"/>
  <c r="G245" i="3" s="1"/>
  <c r="B175" i="3"/>
  <c r="A174" i="3"/>
  <c r="G174" i="3" s="1"/>
  <c r="G18" i="3"/>
  <c r="B93" i="3"/>
  <c r="A92" i="3"/>
  <c r="G92" i="3" s="1"/>
  <c r="A19" i="3"/>
  <c r="G19" i="3" s="1"/>
  <c r="B20" i="3"/>
  <c r="A13" i="17"/>
  <c r="A12" i="17"/>
  <c r="F12" i="17" s="1"/>
  <c r="B204" i="17"/>
  <c r="D204" i="17" s="1"/>
  <c r="A205" i="17"/>
  <c r="E203" i="17"/>
  <c r="E175" i="17"/>
  <c r="B176" i="17"/>
  <c r="D176" i="17" s="1"/>
  <c r="A177" i="17"/>
  <c r="A149" i="17"/>
  <c r="B148" i="17"/>
  <c r="D148" i="17" s="1"/>
  <c r="B14" i="17"/>
  <c r="E147" i="17"/>
  <c r="B176" i="3" l="1"/>
  <c r="A175" i="3"/>
  <c r="G175" i="3" s="1"/>
  <c r="A246" i="3"/>
  <c r="G246" i="3" s="1"/>
  <c r="B247" i="3"/>
  <c r="A93" i="3"/>
  <c r="G93" i="3" s="1"/>
  <c r="B94" i="3"/>
  <c r="B21" i="3"/>
  <c r="A20" i="3"/>
  <c r="F13" i="17"/>
  <c r="A15" i="17"/>
  <c r="A14" i="17"/>
  <c r="E204" i="17"/>
  <c r="A206" i="17"/>
  <c r="B205" i="17"/>
  <c r="D205" i="17" s="1"/>
  <c r="E176" i="17"/>
  <c r="A178" i="17"/>
  <c r="B177" i="17"/>
  <c r="D177" i="17" s="1"/>
  <c r="B16" i="17"/>
  <c r="E148" i="17"/>
  <c r="B149" i="17"/>
  <c r="D149" i="17" s="1"/>
  <c r="A150" i="17"/>
  <c r="A247" i="3" l="1"/>
  <c r="G247" i="3" s="1"/>
  <c r="B248" i="3"/>
  <c r="B177" i="3"/>
  <c r="A176" i="3"/>
  <c r="G176" i="3" s="1"/>
  <c r="G20" i="3"/>
  <c r="A94" i="3"/>
  <c r="G94" i="3" s="1"/>
  <c r="B95" i="3"/>
  <c r="A21" i="3"/>
  <c r="B22" i="3"/>
  <c r="F14" i="17"/>
  <c r="F15" i="17"/>
  <c r="A16" i="17"/>
  <c r="A17" i="17"/>
  <c r="E205" i="17"/>
  <c r="B206" i="17"/>
  <c r="D206" i="17" s="1"/>
  <c r="A207" i="17"/>
  <c r="E177" i="17"/>
  <c r="B178" i="17"/>
  <c r="D178" i="17" s="1"/>
  <c r="A179" i="17"/>
  <c r="B150" i="17"/>
  <c r="D150" i="17" s="1"/>
  <c r="A151" i="17"/>
  <c r="B18" i="17"/>
  <c r="E149" i="17"/>
  <c r="B178" i="3" l="1"/>
  <c r="A177" i="3"/>
  <c r="G177" i="3" s="1"/>
  <c r="A248" i="3"/>
  <c r="G248" i="3" s="1"/>
  <c r="B249" i="3"/>
  <c r="G21" i="3"/>
  <c r="B96" i="3"/>
  <c r="A95" i="3"/>
  <c r="G95" i="3" s="1"/>
  <c r="A22" i="3"/>
  <c r="B23" i="3"/>
  <c r="F16" i="17"/>
  <c r="F17" i="17"/>
  <c r="A19" i="17"/>
  <c r="A18" i="17"/>
  <c r="A208" i="17"/>
  <c r="B207" i="17"/>
  <c r="D207" i="17" s="1"/>
  <c r="E206" i="17"/>
  <c r="E178" i="17"/>
  <c r="B179" i="17"/>
  <c r="D179" i="17" s="1"/>
  <c r="A180" i="17"/>
  <c r="B151" i="17"/>
  <c r="D151" i="17" s="1"/>
  <c r="A152" i="17"/>
  <c r="B20" i="17"/>
  <c r="E150" i="17"/>
  <c r="B250" i="3" l="1"/>
  <c r="A249" i="3"/>
  <c r="G249" i="3" s="1"/>
  <c r="B179" i="3"/>
  <c r="A178" i="3"/>
  <c r="G178" i="3" s="1"/>
  <c r="B97" i="3"/>
  <c r="A96" i="3"/>
  <c r="G96" i="3" s="1"/>
  <c r="G22" i="3"/>
  <c r="B24" i="3"/>
  <c r="A23" i="3"/>
  <c r="F19" i="17"/>
  <c r="F18" i="17"/>
  <c r="A21" i="17"/>
  <c r="A20" i="17"/>
  <c r="E207" i="17"/>
  <c r="A209" i="17"/>
  <c r="B208" i="17"/>
  <c r="D208" i="17" s="1"/>
  <c r="E179" i="17"/>
  <c r="A181" i="17"/>
  <c r="B180" i="17"/>
  <c r="D180" i="17" s="1"/>
  <c r="B152" i="17"/>
  <c r="D152" i="17" s="1"/>
  <c r="A153" i="17"/>
  <c r="B22" i="17"/>
  <c r="E151" i="17"/>
  <c r="A179" i="3" l="1"/>
  <c r="G179" i="3" s="1"/>
  <c r="B180" i="3"/>
  <c r="B251" i="3"/>
  <c r="A250" i="3"/>
  <c r="G250" i="3" s="1"/>
  <c r="K27" i="15"/>
  <c r="G23" i="3"/>
  <c r="B98" i="3"/>
  <c r="A97" i="3"/>
  <c r="G97" i="3" s="1"/>
  <c r="A24" i="3"/>
  <c r="B25" i="3"/>
  <c r="F21" i="17"/>
  <c r="F20" i="17"/>
  <c r="A23" i="17"/>
  <c r="A22" i="17"/>
  <c r="E208" i="17"/>
  <c r="B209" i="17"/>
  <c r="D209" i="17" s="1"/>
  <c r="A210" i="17"/>
  <c r="E180" i="17"/>
  <c r="A182" i="17"/>
  <c r="B181" i="17"/>
  <c r="D181" i="17" s="1"/>
  <c r="B24" i="17"/>
  <c r="E152" i="17"/>
  <c r="A154" i="17"/>
  <c r="B153" i="17"/>
  <c r="D153" i="17" s="1"/>
  <c r="B252" i="3" l="1"/>
  <c r="A251" i="3"/>
  <c r="G251" i="3" s="1"/>
  <c r="B181" i="3"/>
  <c r="A180" i="3"/>
  <c r="G180" i="3" s="1"/>
  <c r="G24" i="3"/>
  <c r="A98" i="3"/>
  <c r="G98" i="3" s="1"/>
  <c r="B99" i="3"/>
  <c r="A25" i="3"/>
  <c r="B26" i="3"/>
  <c r="F23" i="17"/>
  <c r="F22" i="17"/>
  <c r="A24" i="17"/>
  <c r="A25" i="17"/>
  <c r="E209" i="17"/>
  <c r="A211" i="17"/>
  <c r="B210" i="17"/>
  <c r="D210" i="17" s="1"/>
  <c r="A183" i="17"/>
  <c r="B182" i="17"/>
  <c r="D182" i="17" s="1"/>
  <c r="E181" i="17"/>
  <c r="B26" i="17"/>
  <c r="E153" i="17"/>
  <c r="B154" i="17"/>
  <c r="D154" i="17" s="1"/>
  <c r="A155" i="17"/>
  <c r="B182" i="3" l="1"/>
  <c r="A181" i="3"/>
  <c r="G181" i="3" s="1"/>
  <c r="A252" i="3"/>
  <c r="G252" i="3" s="1"/>
  <c r="B253" i="3"/>
  <c r="G25" i="3"/>
  <c r="A99" i="3"/>
  <c r="G99" i="3" s="1"/>
  <c r="B100" i="3"/>
  <c r="A26" i="3"/>
  <c r="B27" i="3"/>
  <c r="K146" i="17" s="1"/>
  <c r="F24" i="17"/>
  <c r="F25" i="17"/>
  <c r="A27" i="17"/>
  <c r="A26" i="17"/>
  <c r="E210" i="17"/>
  <c r="B211" i="17"/>
  <c r="D211" i="17" s="1"/>
  <c r="A212" i="17"/>
  <c r="E182" i="17"/>
  <c r="B183" i="17"/>
  <c r="D183" i="17" s="1"/>
  <c r="A184" i="17"/>
  <c r="A156" i="17"/>
  <c r="B155" i="17"/>
  <c r="D155" i="17" s="1"/>
  <c r="B28" i="17"/>
  <c r="E154" i="17"/>
  <c r="I147" i="17" l="1"/>
  <c r="I146" i="17"/>
  <c r="I150" i="17"/>
  <c r="K150" i="17"/>
  <c r="L150" i="17"/>
  <c r="J150" i="17"/>
  <c r="L147" i="17"/>
  <c r="J148" i="17"/>
  <c r="L146" i="17"/>
  <c r="L148" i="17"/>
  <c r="J147" i="17"/>
  <c r="J146" i="17"/>
  <c r="A253" i="3"/>
  <c r="G253" i="3" s="1"/>
  <c r="B254" i="3"/>
  <c r="B183" i="3"/>
  <c r="A182" i="3"/>
  <c r="G182" i="3" s="1"/>
  <c r="A100" i="3"/>
  <c r="G100" i="3" s="1"/>
  <c r="B101" i="3"/>
  <c r="G26" i="3"/>
  <c r="B28" i="3"/>
  <c r="A27" i="3"/>
  <c r="J175" i="17" s="1"/>
  <c r="W14" i="17" s="1"/>
  <c r="P14" i="17" s="1"/>
  <c r="F27" i="17"/>
  <c r="F26" i="17"/>
  <c r="A29" i="17"/>
  <c r="A28" i="17"/>
  <c r="E211" i="17"/>
  <c r="A213" i="17"/>
  <c r="B212" i="17"/>
  <c r="D212" i="17" s="1"/>
  <c r="E183" i="17"/>
  <c r="B184" i="17"/>
  <c r="D184" i="17" s="1"/>
  <c r="A185" i="17"/>
  <c r="B156" i="17"/>
  <c r="D156" i="17" s="1"/>
  <c r="A157" i="17"/>
  <c r="B30" i="17"/>
  <c r="E155" i="17"/>
  <c r="I148" i="17" l="1"/>
  <c r="K147" i="17"/>
  <c r="K148" i="17"/>
  <c r="A183" i="3"/>
  <c r="G183" i="3" s="1"/>
  <c r="B184" i="3"/>
  <c r="A254" i="3"/>
  <c r="G254" i="3" s="1"/>
  <c r="B255" i="3"/>
  <c r="G27" i="3"/>
  <c r="B102" i="3"/>
  <c r="A101" i="3"/>
  <c r="G101" i="3" s="1"/>
  <c r="B29" i="3"/>
  <c r="A28" i="3"/>
  <c r="F29" i="17"/>
  <c r="F28" i="17"/>
  <c r="A30" i="17"/>
  <c r="A31" i="17"/>
  <c r="E212" i="17"/>
  <c r="B213" i="17"/>
  <c r="D213" i="17" s="1"/>
  <c r="A214" i="17"/>
  <c r="E184" i="17"/>
  <c r="A186" i="17"/>
  <c r="B185" i="17"/>
  <c r="D185" i="17" s="1"/>
  <c r="B157" i="17"/>
  <c r="D157" i="17" s="1"/>
  <c r="A158" i="17"/>
  <c r="B32" i="17"/>
  <c r="E156" i="17"/>
  <c r="B256" i="3" l="1"/>
  <c r="A255" i="3"/>
  <c r="G255" i="3" s="1"/>
  <c r="J24" i="20"/>
  <c r="K24" i="20"/>
  <c r="B185" i="3"/>
  <c r="A184" i="3"/>
  <c r="G184" i="3" s="1"/>
  <c r="B103" i="3"/>
  <c r="A102" i="3"/>
  <c r="G28" i="3"/>
  <c r="A29" i="3"/>
  <c r="B30" i="3"/>
  <c r="F30" i="17"/>
  <c r="F31" i="17"/>
  <c r="A33" i="17"/>
  <c r="A32" i="17"/>
  <c r="E213" i="17"/>
  <c r="B214" i="17"/>
  <c r="D214" i="17" s="1"/>
  <c r="A215" i="17"/>
  <c r="A187" i="17"/>
  <c r="B186" i="17"/>
  <c r="D186" i="17" s="1"/>
  <c r="E185" i="17"/>
  <c r="A159" i="17"/>
  <c r="B158" i="17"/>
  <c r="D158" i="17" s="1"/>
  <c r="B34" i="17"/>
  <c r="E157" i="17"/>
  <c r="L24" i="20" l="1"/>
  <c r="A185" i="3"/>
  <c r="G185" i="3" s="1"/>
  <c r="B186" i="3"/>
  <c r="B257" i="3"/>
  <c r="A256" i="3"/>
  <c r="G256" i="3" s="1"/>
  <c r="G29" i="3"/>
  <c r="B104" i="3"/>
  <c r="A103" i="3"/>
  <c r="G103" i="3" s="1"/>
  <c r="A30" i="3"/>
  <c r="G30" i="3" s="1"/>
  <c r="B31" i="3"/>
  <c r="F32" i="17"/>
  <c r="F33" i="17"/>
  <c r="A34" i="17"/>
  <c r="A35" i="17"/>
  <c r="F35" i="17" s="1"/>
  <c r="E214" i="17"/>
  <c r="A216" i="17"/>
  <c r="B215" i="17"/>
  <c r="D215" i="17" s="1"/>
  <c r="E186" i="17"/>
  <c r="A188" i="17"/>
  <c r="B187" i="17"/>
  <c r="D187" i="17" s="1"/>
  <c r="B159" i="17"/>
  <c r="D159" i="17" s="1"/>
  <c r="A160" i="17"/>
  <c r="B36" i="17"/>
  <c r="E158" i="17"/>
  <c r="B258" i="3" l="1"/>
  <c r="A257" i="3"/>
  <c r="G257" i="3" s="1"/>
  <c r="B187" i="3"/>
  <c r="A186" i="3"/>
  <c r="G186" i="3" s="1"/>
  <c r="B105" i="3"/>
  <c r="A104" i="3"/>
  <c r="B32" i="3"/>
  <c r="A31" i="3"/>
  <c r="F34" i="17"/>
  <c r="A37" i="17"/>
  <c r="A36" i="17"/>
  <c r="E215" i="17"/>
  <c r="B216" i="17"/>
  <c r="D216" i="17" s="1"/>
  <c r="A217" i="17"/>
  <c r="E187" i="17"/>
  <c r="B188" i="17"/>
  <c r="D188" i="17" s="1"/>
  <c r="A189" i="17"/>
  <c r="B160" i="17"/>
  <c r="D160" i="17" s="1"/>
  <c r="A161" i="17"/>
  <c r="B38" i="17"/>
  <c r="E159" i="17"/>
  <c r="B188" i="3" l="1"/>
  <c r="A187" i="3"/>
  <c r="G187" i="3" s="1"/>
  <c r="A258" i="3"/>
  <c r="G258" i="3" s="1"/>
  <c r="B259" i="3"/>
  <c r="G31" i="3"/>
  <c r="B106" i="3"/>
  <c r="A105" i="3"/>
  <c r="G105" i="3" s="1"/>
  <c r="B33" i="3"/>
  <c r="A32" i="3"/>
  <c r="F37" i="17"/>
  <c r="F36" i="17"/>
  <c r="A39" i="17"/>
  <c r="A38" i="17"/>
  <c r="E216" i="17"/>
  <c r="A218" i="17"/>
  <c r="B217" i="17"/>
  <c r="D217" i="17" s="1"/>
  <c r="E188" i="17"/>
  <c r="B189" i="17"/>
  <c r="D189" i="17" s="1"/>
  <c r="A190" i="17"/>
  <c r="B40" i="17"/>
  <c r="E160" i="17"/>
  <c r="A162" i="17"/>
  <c r="B161" i="17"/>
  <c r="D161" i="17" s="1"/>
  <c r="A259" i="3" l="1"/>
  <c r="G259" i="3" s="1"/>
  <c r="B260" i="3"/>
  <c r="B189" i="3"/>
  <c r="A188" i="3"/>
  <c r="G188" i="3" s="1"/>
  <c r="A106" i="3"/>
  <c r="G106" i="3" s="1"/>
  <c r="B107" i="3"/>
  <c r="G32" i="3"/>
  <c r="J179" i="17"/>
  <c r="J36" i="20"/>
  <c r="K36" i="20"/>
  <c r="J152" i="17"/>
  <c r="I152" i="17"/>
  <c r="K152" i="17"/>
  <c r="A33" i="3"/>
  <c r="B34" i="3"/>
  <c r="F39" i="17"/>
  <c r="F38" i="17"/>
  <c r="A41" i="17"/>
  <c r="A40" i="17"/>
  <c r="B218" i="17"/>
  <c r="D218" i="17" s="1"/>
  <c r="A219" i="17"/>
  <c r="E217" i="17"/>
  <c r="E189" i="17"/>
  <c r="A191" i="17"/>
  <c r="B190" i="17"/>
  <c r="D190" i="17" s="1"/>
  <c r="B42" i="17"/>
  <c r="E161" i="17"/>
  <c r="B162" i="17"/>
  <c r="D162" i="17" s="1"/>
  <c r="A163" i="17"/>
  <c r="A260" i="3" l="1"/>
  <c r="G260" i="3" s="1"/>
  <c r="B261" i="3"/>
  <c r="K7" i="20"/>
  <c r="J7" i="20"/>
  <c r="B190" i="3"/>
  <c r="A189" i="3"/>
  <c r="G189" i="3" s="1"/>
  <c r="L36" i="20"/>
  <c r="G33" i="3"/>
  <c r="K180" i="17"/>
  <c r="B108" i="3"/>
  <c r="A107" i="3"/>
  <c r="G107" i="3" s="1"/>
  <c r="L152" i="17"/>
  <c r="A34" i="3"/>
  <c r="G34" i="3" s="1"/>
  <c r="B35" i="3"/>
  <c r="F40" i="17"/>
  <c r="F41" i="17"/>
  <c r="A43" i="17"/>
  <c r="A42" i="17"/>
  <c r="B219" i="17"/>
  <c r="D219" i="17" s="1"/>
  <c r="A220" i="17"/>
  <c r="D220" i="17" s="1"/>
  <c r="E218" i="17"/>
  <c r="E190" i="17"/>
  <c r="A192" i="17"/>
  <c r="D192" i="17" s="1"/>
  <c r="B191" i="17"/>
  <c r="D191" i="17" s="1"/>
  <c r="B163" i="17"/>
  <c r="D163" i="17" s="1"/>
  <c r="A164" i="17"/>
  <c r="D164" i="17" s="1"/>
  <c r="B44" i="17"/>
  <c r="E162" i="17"/>
  <c r="A190" i="3" l="1"/>
  <c r="G190" i="3" s="1"/>
  <c r="B191" i="3"/>
  <c r="B262" i="3"/>
  <c r="A261" i="3"/>
  <c r="G261" i="3" s="1"/>
  <c r="L7" i="20"/>
  <c r="A108" i="3"/>
  <c r="G108" i="3" s="1"/>
  <c r="B109" i="3"/>
  <c r="K164" i="17"/>
  <c r="I164" i="17"/>
  <c r="J164" i="17"/>
  <c r="L164" i="17"/>
  <c r="A35" i="3"/>
  <c r="B36" i="3"/>
  <c r="F42" i="17"/>
  <c r="F43" i="17"/>
  <c r="A45" i="17"/>
  <c r="A44" i="17"/>
  <c r="A221" i="17"/>
  <c r="D221" i="17" s="1"/>
  <c r="B220" i="17"/>
  <c r="E219" i="17"/>
  <c r="E191" i="17"/>
  <c r="A193" i="17"/>
  <c r="D193" i="17" s="1"/>
  <c r="B192" i="17"/>
  <c r="B164" i="17"/>
  <c r="A165" i="17"/>
  <c r="D165" i="17" s="1"/>
  <c r="B46" i="17"/>
  <c r="E163" i="17"/>
  <c r="B263" i="3" l="1"/>
  <c r="A262" i="3"/>
  <c r="G262" i="3" s="1"/>
  <c r="B192" i="3"/>
  <c r="A191" i="3"/>
  <c r="G191" i="3" s="1"/>
  <c r="J154" i="17"/>
  <c r="G35" i="3"/>
  <c r="A109" i="3"/>
  <c r="G109" i="3" s="1"/>
  <c r="B110" i="3"/>
  <c r="J39" i="20" s="1"/>
  <c r="K165" i="17"/>
  <c r="I165" i="17"/>
  <c r="L165" i="17"/>
  <c r="J165" i="17"/>
  <c r="A36" i="3"/>
  <c r="G36" i="3" s="1"/>
  <c r="B37" i="3"/>
  <c r="G164" i="17"/>
  <c r="F164" i="17"/>
  <c r="F44" i="17"/>
  <c r="F45" i="17"/>
  <c r="A47" i="17"/>
  <c r="A46" i="17"/>
  <c r="B221" i="17"/>
  <c r="A222" i="17"/>
  <c r="D222" i="17" s="1"/>
  <c r="G220" i="17"/>
  <c r="F220" i="17"/>
  <c r="E220" i="17"/>
  <c r="L192" i="17"/>
  <c r="I192" i="17"/>
  <c r="K192" i="17"/>
  <c r="J192" i="17"/>
  <c r="H192" i="17"/>
  <c r="F192" i="17"/>
  <c r="E192" i="17"/>
  <c r="G192" i="17"/>
  <c r="B193" i="17"/>
  <c r="A194" i="17"/>
  <c r="D194" i="17" s="1"/>
  <c r="B165" i="17"/>
  <c r="A166" i="17"/>
  <c r="D166" i="17" s="1"/>
  <c r="B48" i="17"/>
  <c r="E164" i="17"/>
  <c r="H164" i="17"/>
  <c r="M48" i="17" s="1"/>
  <c r="D48" i="17" s="1"/>
  <c r="I154" i="17" l="1"/>
  <c r="K154" i="17"/>
  <c r="L154" i="17"/>
  <c r="B193" i="3"/>
  <c r="A192" i="3"/>
  <c r="G192" i="3" s="1"/>
  <c r="B264" i="3"/>
  <c r="A263" i="3"/>
  <c r="G263" i="3" s="1"/>
  <c r="A110" i="3"/>
  <c r="G110" i="3" s="1"/>
  <c r="B111" i="3"/>
  <c r="K39" i="20"/>
  <c r="L39" i="20" s="1"/>
  <c r="I220" i="17"/>
  <c r="L220" i="17"/>
  <c r="H220" i="17"/>
  <c r="K220" i="17"/>
  <c r="J220" i="17"/>
  <c r="AA49" i="17"/>
  <c r="AA48" i="17"/>
  <c r="L166" i="17"/>
  <c r="J166" i="17"/>
  <c r="K166" i="17"/>
  <c r="I166" i="17"/>
  <c r="B38" i="3"/>
  <c r="A37" i="3"/>
  <c r="F165" i="17"/>
  <c r="G165" i="17"/>
  <c r="F46" i="17"/>
  <c r="F47" i="17"/>
  <c r="A48" i="17"/>
  <c r="A49" i="17"/>
  <c r="A223" i="17"/>
  <c r="D223" i="17" s="1"/>
  <c r="B222" i="17"/>
  <c r="F221" i="17"/>
  <c r="G221" i="17"/>
  <c r="E221" i="17"/>
  <c r="L193" i="17"/>
  <c r="K193" i="17"/>
  <c r="H193" i="17"/>
  <c r="G193" i="17"/>
  <c r="F193" i="17"/>
  <c r="J193" i="17"/>
  <c r="I193" i="17"/>
  <c r="E193" i="17"/>
  <c r="B194" i="17"/>
  <c r="A195" i="17"/>
  <c r="D195" i="17" s="1"/>
  <c r="B50" i="17"/>
  <c r="H165" i="17"/>
  <c r="M50" i="17" s="1"/>
  <c r="D50" i="17" s="1"/>
  <c r="E165" i="17"/>
  <c r="B166" i="17"/>
  <c r="A167" i="17"/>
  <c r="D167" i="17" s="1"/>
  <c r="A264" i="3" l="1"/>
  <c r="G264" i="3" s="1"/>
  <c r="B265" i="3"/>
  <c r="B194" i="3"/>
  <c r="A193" i="3"/>
  <c r="G193" i="3" s="1"/>
  <c r="G37" i="3"/>
  <c r="A111" i="3"/>
  <c r="G111" i="3" s="1"/>
  <c r="B112" i="3"/>
  <c r="K221" i="17"/>
  <c r="L221" i="17"/>
  <c r="J221" i="17"/>
  <c r="I221" i="17"/>
  <c r="H221" i="17"/>
  <c r="G49" i="17"/>
  <c r="G48" i="17"/>
  <c r="AA50" i="17"/>
  <c r="AA51" i="17"/>
  <c r="L167" i="17"/>
  <c r="J167" i="17"/>
  <c r="K167" i="17"/>
  <c r="I167" i="17"/>
  <c r="B39" i="3"/>
  <c r="A38" i="3"/>
  <c r="B52" i="17"/>
  <c r="F166" i="17"/>
  <c r="G166" i="17"/>
  <c r="F48" i="17"/>
  <c r="F49" i="17"/>
  <c r="A50" i="17"/>
  <c r="A51" i="17"/>
  <c r="P49" i="17"/>
  <c r="I49" i="17" s="1"/>
  <c r="Q49" i="17"/>
  <c r="J49" i="17" s="1"/>
  <c r="O49" i="17"/>
  <c r="H49" i="17" s="1"/>
  <c r="R49" i="17"/>
  <c r="K49" i="17" s="1"/>
  <c r="R48" i="17"/>
  <c r="K48" i="17" s="1"/>
  <c r="P48" i="17"/>
  <c r="I48" i="17" s="1"/>
  <c r="O48" i="17"/>
  <c r="Q48" i="17"/>
  <c r="J48" i="17" s="1"/>
  <c r="F222" i="17"/>
  <c r="E222" i="17"/>
  <c r="G222" i="17"/>
  <c r="B223" i="17"/>
  <c r="A224" i="17"/>
  <c r="D224" i="17" s="1"/>
  <c r="J194" i="17"/>
  <c r="I194" i="17"/>
  <c r="H194" i="17"/>
  <c r="G194" i="17"/>
  <c r="F194" i="17"/>
  <c r="E194" i="17"/>
  <c r="L194" i="17"/>
  <c r="K194" i="17"/>
  <c r="A196" i="17"/>
  <c r="D196" i="17" s="1"/>
  <c r="B195" i="17"/>
  <c r="B167" i="17"/>
  <c r="A168" i="17"/>
  <c r="D168" i="17" s="1"/>
  <c r="H166" i="17"/>
  <c r="M52" i="17" s="1"/>
  <c r="D52" i="17" s="1"/>
  <c r="E166" i="17"/>
  <c r="A194" i="3" l="1"/>
  <c r="G194" i="3" s="1"/>
  <c r="B195" i="3"/>
  <c r="A265" i="3"/>
  <c r="G265" i="3" s="1"/>
  <c r="B266" i="3"/>
  <c r="K33" i="20"/>
  <c r="J33" i="20"/>
  <c r="T49" i="17"/>
  <c r="T48" i="17"/>
  <c r="G38" i="3"/>
  <c r="B113" i="3"/>
  <c r="A112" i="3"/>
  <c r="G112" i="3" s="1"/>
  <c r="U48" i="17"/>
  <c r="H48" i="17"/>
  <c r="L168" i="17"/>
  <c r="J168" i="17"/>
  <c r="K168" i="17"/>
  <c r="I168" i="17"/>
  <c r="I222" i="17"/>
  <c r="H222" i="17"/>
  <c r="L222" i="17"/>
  <c r="K222" i="17"/>
  <c r="J222" i="17"/>
  <c r="U49" i="17"/>
  <c r="G51" i="17"/>
  <c r="G50" i="17"/>
  <c r="AA52" i="17"/>
  <c r="AA53" i="17"/>
  <c r="A39" i="3"/>
  <c r="G39" i="3" s="1"/>
  <c r="B40" i="3"/>
  <c r="A53" i="17"/>
  <c r="Q53" i="17" s="1"/>
  <c r="A52" i="17"/>
  <c r="R52" i="17" s="1"/>
  <c r="B54" i="17"/>
  <c r="G167" i="17"/>
  <c r="F167" i="17"/>
  <c r="F50" i="17"/>
  <c r="F51" i="17"/>
  <c r="S48" i="17"/>
  <c r="Q50" i="17"/>
  <c r="J50" i="17" s="1"/>
  <c r="O50" i="17"/>
  <c r="H50" i="17" s="1"/>
  <c r="R50" i="17"/>
  <c r="K50" i="17" s="1"/>
  <c r="P50" i="17"/>
  <c r="R51" i="17"/>
  <c r="K51" i="17" s="1"/>
  <c r="O51" i="17"/>
  <c r="H51" i="17" s="1"/>
  <c r="Q51" i="17"/>
  <c r="J51" i="17" s="1"/>
  <c r="P51" i="17"/>
  <c r="I51" i="17" s="1"/>
  <c r="S49" i="17"/>
  <c r="G223" i="17"/>
  <c r="F223" i="17"/>
  <c r="E223" i="17"/>
  <c r="A225" i="17"/>
  <c r="D225" i="17" s="1"/>
  <c r="B224" i="17"/>
  <c r="A197" i="17"/>
  <c r="D197" i="17" s="1"/>
  <c r="B196" i="17"/>
  <c r="H195" i="17"/>
  <c r="G195" i="17"/>
  <c r="F195" i="17"/>
  <c r="E195" i="17"/>
  <c r="J195" i="17"/>
  <c r="I195" i="17"/>
  <c r="L195" i="17"/>
  <c r="K195" i="17"/>
  <c r="B168" i="17"/>
  <c r="A169" i="17"/>
  <c r="D169" i="17" s="1"/>
  <c r="H167" i="17"/>
  <c r="M54" i="17" s="1"/>
  <c r="D54" i="17" s="1"/>
  <c r="E167" i="17"/>
  <c r="B196" i="3" l="1"/>
  <c r="A195" i="3"/>
  <c r="G195" i="3" s="1"/>
  <c r="L33" i="20"/>
  <c r="A266" i="3"/>
  <c r="G266" i="3" s="1"/>
  <c r="B267" i="3"/>
  <c r="J34" i="20"/>
  <c r="K34" i="20"/>
  <c r="T50" i="17"/>
  <c r="T51" i="17"/>
  <c r="B114" i="3"/>
  <c r="A113" i="3"/>
  <c r="G113" i="3" s="1"/>
  <c r="J41" i="20"/>
  <c r="K41" i="20"/>
  <c r="U50" i="17"/>
  <c r="I50" i="17"/>
  <c r="U51" i="17"/>
  <c r="G52" i="17"/>
  <c r="K52" i="17"/>
  <c r="AA55" i="17"/>
  <c r="AA54" i="17"/>
  <c r="J53" i="17"/>
  <c r="G53" i="17"/>
  <c r="I169" i="17"/>
  <c r="L169" i="17"/>
  <c r="J169" i="17"/>
  <c r="K169" i="17"/>
  <c r="L223" i="17"/>
  <c r="H223" i="17"/>
  <c r="K223" i="17"/>
  <c r="J223" i="17"/>
  <c r="I223" i="17"/>
  <c r="B41" i="3"/>
  <c r="A40" i="3"/>
  <c r="P53" i="17"/>
  <c r="I53" i="17" s="1"/>
  <c r="F53" i="17"/>
  <c r="R53" i="17"/>
  <c r="K53" i="17" s="1"/>
  <c r="O53" i="17"/>
  <c r="P52" i="17"/>
  <c r="I52" i="17" s="1"/>
  <c r="O52" i="17"/>
  <c r="Q52" i="17"/>
  <c r="J52" i="17" s="1"/>
  <c r="F52" i="17"/>
  <c r="A54" i="17"/>
  <c r="O54" i="17" s="1"/>
  <c r="A55" i="17"/>
  <c r="O55" i="17" s="1"/>
  <c r="B56" i="17"/>
  <c r="G168" i="17"/>
  <c r="F168" i="17"/>
  <c r="S51" i="17"/>
  <c r="S50" i="17"/>
  <c r="A226" i="17"/>
  <c r="D226" i="17" s="1"/>
  <c r="B225" i="17"/>
  <c r="F224" i="17"/>
  <c r="E224" i="17"/>
  <c r="G224" i="17"/>
  <c r="A198" i="17"/>
  <c r="D198" i="17" s="1"/>
  <c r="B197" i="17"/>
  <c r="F196" i="17"/>
  <c r="E196" i="17"/>
  <c r="K196" i="17"/>
  <c r="J196" i="17"/>
  <c r="L196" i="17"/>
  <c r="H196" i="17"/>
  <c r="G196" i="17"/>
  <c r="I196" i="17"/>
  <c r="B169" i="17"/>
  <c r="A170" i="17"/>
  <c r="D170" i="17" s="1"/>
  <c r="H168" i="17"/>
  <c r="M56" i="17" s="1"/>
  <c r="D56" i="17" s="1"/>
  <c r="E168" i="17"/>
  <c r="L34" i="20" l="1"/>
  <c r="B268" i="3"/>
  <c r="A267" i="3"/>
  <c r="G267" i="3" s="1"/>
  <c r="B197" i="3"/>
  <c r="A196" i="3"/>
  <c r="G196" i="3" s="1"/>
  <c r="T53" i="17"/>
  <c r="T52" i="17"/>
  <c r="G40" i="3"/>
  <c r="L41" i="20"/>
  <c r="A114" i="3"/>
  <c r="G114" i="3" s="1"/>
  <c r="B115" i="3"/>
  <c r="K42" i="20"/>
  <c r="J42" i="20"/>
  <c r="U53" i="17"/>
  <c r="U52" i="17"/>
  <c r="L224" i="17"/>
  <c r="K224" i="17"/>
  <c r="J224" i="17"/>
  <c r="I224" i="17"/>
  <c r="H224" i="17"/>
  <c r="H55" i="17"/>
  <c r="G55" i="17"/>
  <c r="H52" i="17"/>
  <c r="G54" i="17"/>
  <c r="H54" i="17"/>
  <c r="L170" i="17"/>
  <c r="J170" i="17"/>
  <c r="K170" i="17"/>
  <c r="I170" i="17"/>
  <c r="H53" i="17"/>
  <c r="AA57" i="17"/>
  <c r="AA56" i="17"/>
  <c r="B42" i="3"/>
  <c r="A41" i="3"/>
  <c r="S53" i="17"/>
  <c r="S52" i="17"/>
  <c r="F54" i="17"/>
  <c r="P54" i="17"/>
  <c r="I54" i="17" s="1"/>
  <c r="R54" i="17"/>
  <c r="K54" i="17" s="1"/>
  <c r="Q54" i="17"/>
  <c r="J54" i="17" s="1"/>
  <c r="Q55" i="17"/>
  <c r="J55" i="17" s="1"/>
  <c r="F55" i="17"/>
  <c r="R55" i="17"/>
  <c r="K55" i="17" s="1"/>
  <c r="P55" i="17"/>
  <c r="A56" i="17"/>
  <c r="O56" i="17" s="1"/>
  <c r="A57" i="17"/>
  <c r="O57" i="17" s="1"/>
  <c r="B58" i="17"/>
  <c r="G169" i="17"/>
  <c r="F169" i="17"/>
  <c r="B226" i="17"/>
  <c r="G225" i="17"/>
  <c r="F225" i="17"/>
  <c r="E225" i="17"/>
  <c r="B198" i="17"/>
  <c r="L197" i="17"/>
  <c r="K197" i="17"/>
  <c r="I197" i="17"/>
  <c r="H197" i="17"/>
  <c r="J197" i="17"/>
  <c r="F197" i="17"/>
  <c r="E197" i="17"/>
  <c r="G197" i="17"/>
  <c r="B170" i="17"/>
  <c r="H169" i="17"/>
  <c r="M58" i="17" s="1"/>
  <c r="D58" i="17" s="1"/>
  <c r="E169" i="17"/>
  <c r="A197" i="3" l="1"/>
  <c r="G197" i="3" s="1"/>
  <c r="B198" i="3"/>
  <c r="A268" i="3"/>
  <c r="G268" i="3" s="1"/>
  <c r="B269" i="3"/>
  <c r="T55" i="17"/>
  <c r="T54" i="17"/>
  <c r="L42" i="20"/>
  <c r="B116" i="3"/>
  <c r="A115" i="3"/>
  <c r="G115" i="3" s="1"/>
  <c r="J43" i="20"/>
  <c r="K43" i="20"/>
  <c r="G41" i="3"/>
  <c r="U55" i="17"/>
  <c r="U54" i="17"/>
  <c r="H56" i="17"/>
  <c r="G56" i="17"/>
  <c r="H57" i="17"/>
  <c r="G57" i="17"/>
  <c r="AA59" i="17"/>
  <c r="AA58" i="17"/>
  <c r="I55" i="17"/>
  <c r="J225" i="17"/>
  <c r="I225" i="17"/>
  <c r="H225" i="17"/>
  <c r="K225" i="17"/>
  <c r="L225" i="17"/>
  <c r="B43" i="3"/>
  <c r="A42" i="3"/>
  <c r="G42" i="3" s="1"/>
  <c r="S54" i="17"/>
  <c r="Q56" i="17"/>
  <c r="J56" i="17" s="1"/>
  <c r="P56" i="17"/>
  <c r="R56" i="17"/>
  <c r="K56" i="17" s="1"/>
  <c r="F57" i="17"/>
  <c r="S55" i="17"/>
  <c r="F56" i="17"/>
  <c r="P57" i="17"/>
  <c r="I57" i="17" s="1"/>
  <c r="R57" i="17"/>
  <c r="K57" i="17" s="1"/>
  <c r="Q57" i="17"/>
  <c r="J57" i="17" s="1"/>
  <c r="A59" i="17"/>
  <c r="F59" i="17" s="1"/>
  <c r="A58" i="17"/>
  <c r="O58" i="17" s="1"/>
  <c r="B60" i="17"/>
  <c r="G170" i="17"/>
  <c r="F170" i="17"/>
  <c r="F226" i="17"/>
  <c r="G226" i="17"/>
  <c r="E226" i="17"/>
  <c r="L198" i="17"/>
  <c r="K198" i="17"/>
  <c r="G198" i="17"/>
  <c r="F198" i="17"/>
  <c r="J198" i="17"/>
  <c r="I198" i="17"/>
  <c r="H198" i="17"/>
  <c r="E198" i="17"/>
  <c r="E170" i="17"/>
  <c r="H170" i="17"/>
  <c r="M60" i="17" s="1"/>
  <c r="D60" i="17" s="1"/>
  <c r="B270" i="3" l="1"/>
  <c r="A269" i="3"/>
  <c r="G269" i="3" s="1"/>
  <c r="A198" i="3"/>
  <c r="G198" i="3" s="1"/>
  <c r="B199" i="3"/>
  <c r="T56" i="17"/>
  <c r="T57" i="17"/>
  <c r="L43" i="20"/>
  <c r="B117" i="3"/>
  <c r="A116" i="3"/>
  <c r="I155" i="17"/>
  <c r="L155" i="17"/>
  <c r="J155" i="17"/>
  <c r="K155" i="17"/>
  <c r="U57" i="17"/>
  <c r="U56" i="17"/>
  <c r="H58" i="17"/>
  <c r="G58" i="17"/>
  <c r="A60" i="17"/>
  <c r="P60" i="17" s="1"/>
  <c r="AA60" i="17"/>
  <c r="AA61" i="17"/>
  <c r="G59" i="17"/>
  <c r="I56" i="17"/>
  <c r="I226" i="17"/>
  <c r="H226" i="17"/>
  <c r="L226" i="17"/>
  <c r="K226" i="17"/>
  <c r="J226" i="17"/>
  <c r="A43" i="3"/>
  <c r="G43" i="3" s="1"/>
  <c r="B44" i="3"/>
  <c r="S56" i="17"/>
  <c r="S57" i="17"/>
  <c r="R59" i="17"/>
  <c r="K59" i="17" s="1"/>
  <c r="Q59" i="17"/>
  <c r="J59" i="17" s="1"/>
  <c r="R58" i="17"/>
  <c r="K58" i="17" s="1"/>
  <c r="O59" i="17"/>
  <c r="H59" i="17" s="1"/>
  <c r="P59" i="17"/>
  <c r="I59" i="17" s="1"/>
  <c r="Q58" i="17"/>
  <c r="J58" i="17" s="1"/>
  <c r="P58" i="17"/>
  <c r="I58" i="17" s="1"/>
  <c r="F58" i="17"/>
  <c r="A61" i="17"/>
  <c r="Q61" i="17" s="1"/>
  <c r="A199" i="3" l="1"/>
  <c r="G199" i="3" s="1"/>
  <c r="B200" i="3"/>
  <c r="A270" i="3"/>
  <c r="G270" i="3" s="1"/>
  <c r="B271" i="3"/>
  <c r="T58" i="17"/>
  <c r="T59" i="17"/>
  <c r="G116" i="3"/>
  <c r="L183" i="17"/>
  <c r="I183" i="17"/>
  <c r="B118" i="3"/>
  <c r="A117" i="3"/>
  <c r="G117" i="3" s="1"/>
  <c r="L156" i="17"/>
  <c r="I156" i="17"/>
  <c r="K156" i="17"/>
  <c r="J156" i="17"/>
  <c r="R60" i="17"/>
  <c r="Q60" i="17"/>
  <c r="J60" i="17" s="1"/>
  <c r="F60" i="17"/>
  <c r="O60" i="17"/>
  <c r="H60" i="17" s="1"/>
  <c r="G61" i="17"/>
  <c r="J61" i="17"/>
  <c r="G60" i="17"/>
  <c r="I60" i="17"/>
  <c r="U59" i="17"/>
  <c r="U58" i="17"/>
  <c r="A44" i="3"/>
  <c r="G44" i="3" s="1"/>
  <c r="B45" i="3"/>
  <c r="S59" i="17"/>
  <c r="R61" i="17"/>
  <c r="K61" i="17" s="1"/>
  <c r="S58" i="17"/>
  <c r="P61" i="17"/>
  <c r="I61" i="17" s="1"/>
  <c r="F61" i="17"/>
  <c r="O61" i="17"/>
  <c r="H61" i="17" s="1"/>
  <c r="A271" i="3" l="1"/>
  <c r="G271" i="3" s="1"/>
  <c r="B272" i="3"/>
  <c r="A200" i="3"/>
  <c r="G200" i="3" s="1"/>
  <c r="B201" i="3"/>
  <c r="T60" i="17"/>
  <c r="T61" i="17"/>
  <c r="B119" i="3"/>
  <c r="A118" i="3"/>
  <c r="G118" i="3" s="1"/>
  <c r="U60" i="17"/>
  <c r="K60" i="17"/>
  <c r="S60" i="17"/>
  <c r="U61" i="17"/>
  <c r="A45" i="3"/>
  <c r="B46" i="3"/>
  <c r="S61" i="17"/>
  <c r="A201" i="3" l="1"/>
  <c r="G201" i="3" s="1"/>
  <c r="B202" i="3"/>
  <c r="B273" i="3"/>
  <c r="A272" i="3"/>
  <c r="G272" i="3" s="1"/>
  <c r="G45" i="3"/>
  <c r="B120" i="3"/>
  <c r="A119" i="3"/>
  <c r="G119" i="3" s="1"/>
  <c r="L157" i="17"/>
  <c r="I157" i="17"/>
  <c r="J157" i="17"/>
  <c r="K157" i="17"/>
  <c r="A46" i="3"/>
  <c r="B47" i="3"/>
  <c r="B203" i="3" l="1"/>
  <c r="A202" i="3"/>
  <c r="D165" i="15"/>
  <c r="A273" i="3"/>
  <c r="G273" i="3" s="1"/>
  <c r="B274" i="3"/>
  <c r="G46" i="3"/>
  <c r="B121" i="3"/>
  <c r="A120" i="3"/>
  <c r="G120" i="3" s="1"/>
  <c r="A47" i="3"/>
  <c r="G47" i="3" s="1"/>
  <c r="B48" i="3"/>
  <c r="A274" i="3" l="1"/>
  <c r="G274" i="3" s="1"/>
  <c r="B275" i="3"/>
  <c r="G202" i="3"/>
  <c r="D178" i="15"/>
  <c r="D191" i="15"/>
  <c r="B204" i="3"/>
  <c r="A203" i="3"/>
  <c r="L149" i="17"/>
  <c r="I149" i="17"/>
  <c r="J149" i="17"/>
  <c r="K149" i="17"/>
  <c r="B122" i="3"/>
  <c r="A121" i="3"/>
  <c r="G121" i="3" s="1"/>
  <c r="A48" i="3"/>
  <c r="G48" i="3" s="1"/>
  <c r="B49" i="3"/>
  <c r="B205" i="3" l="1"/>
  <c r="A204" i="3"/>
  <c r="K35" i="20"/>
  <c r="J35" i="20"/>
  <c r="K151" i="17"/>
  <c r="J151" i="17"/>
  <c r="I151" i="17"/>
  <c r="L151" i="17"/>
  <c r="G203" i="3"/>
  <c r="J177" i="17"/>
  <c r="A275" i="3"/>
  <c r="G275" i="3" s="1"/>
  <c r="B276" i="3"/>
  <c r="J38" i="20"/>
  <c r="K38" i="20"/>
  <c r="A122" i="3"/>
  <c r="G122" i="3" s="1"/>
  <c r="B123" i="3"/>
  <c r="A49" i="3"/>
  <c r="B50" i="3"/>
  <c r="J9" i="20"/>
  <c r="K9" i="20"/>
  <c r="L38" i="20" l="1"/>
  <c r="B277" i="3"/>
  <c r="A276" i="3"/>
  <c r="G276" i="3" s="1"/>
  <c r="J40" i="20"/>
  <c r="K40" i="20"/>
  <c r="G204" i="3"/>
  <c r="L179" i="17"/>
  <c r="L35" i="20"/>
  <c r="A205" i="3"/>
  <c r="G205" i="3" s="1"/>
  <c r="B206" i="3"/>
  <c r="G49" i="3"/>
  <c r="B124" i="3"/>
  <c r="A123" i="3"/>
  <c r="G123" i="3" s="1"/>
  <c r="B51" i="3"/>
  <c r="A50" i="3"/>
  <c r="J11" i="20"/>
  <c r="K11" i="20"/>
  <c r="L9" i="20"/>
  <c r="J10" i="20"/>
  <c r="K10" i="20"/>
  <c r="L40" i="20" l="1"/>
  <c r="A206" i="3"/>
  <c r="G206" i="3" s="1"/>
  <c r="B207" i="3"/>
  <c r="A277" i="3"/>
  <c r="G277" i="3" s="1"/>
  <c r="B278" i="3"/>
  <c r="G50" i="3"/>
  <c r="A124" i="3"/>
  <c r="B125" i="3"/>
  <c r="L158" i="17"/>
  <c r="J158" i="17"/>
  <c r="I158" i="17"/>
  <c r="K158" i="17"/>
  <c r="B52" i="3"/>
  <c r="A51" i="3"/>
  <c r="G51" i="3" s="1"/>
  <c r="L11" i="20"/>
  <c r="L10" i="20"/>
  <c r="J12" i="20"/>
  <c r="K12" i="20"/>
  <c r="B279" i="3" l="1"/>
  <c r="A278" i="3"/>
  <c r="G278" i="3" s="1"/>
  <c r="B208" i="3"/>
  <c r="A207" i="3"/>
  <c r="G207" i="3" s="1"/>
  <c r="G124" i="3"/>
  <c r="I186" i="17"/>
  <c r="B126" i="3"/>
  <c r="A125" i="3"/>
  <c r="D160" i="15"/>
  <c r="A52" i="3"/>
  <c r="B53" i="3"/>
  <c r="J13" i="20"/>
  <c r="K13" i="20"/>
  <c r="L12" i="20"/>
  <c r="J188" i="17"/>
  <c r="B209" i="3" l="1"/>
  <c r="A208" i="3"/>
  <c r="G208" i="3" s="1"/>
  <c r="B280" i="3"/>
  <c r="A279" i="3"/>
  <c r="G279" i="3" s="1"/>
  <c r="G52" i="3"/>
  <c r="G125" i="3"/>
  <c r="D173" i="15"/>
  <c r="D186" i="15"/>
  <c r="B127" i="3"/>
  <c r="A126" i="3"/>
  <c r="G126" i="3" s="1"/>
  <c r="A53" i="3"/>
  <c r="G53" i="3" s="1"/>
  <c r="B54" i="3"/>
  <c r="K14" i="20"/>
  <c r="J14" i="20"/>
  <c r="L13" i="20"/>
  <c r="B281" i="3" l="1"/>
  <c r="A280" i="3"/>
  <c r="G280" i="3" s="1"/>
  <c r="B210" i="3"/>
  <c r="A209" i="3"/>
  <c r="B128" i="3"/>
  <c r="A127" i="3"/>
  <c r="A54" i="3"/>
  <c r="B55" i="3"/>
  <c r="J15" i="20"/>
  <c r="K15" i="20"/>
  <c r="L14" i="20"/>
  <c r="B211" i="3" l="1"/>
  <c r="A210" i="3"/>
  <c r="G210" i="3" s="1"/>
  <c r="J153" i="17"/>
  <c r="I153" i="17"/>
  <c r="K153" i="17"/>
  <c r="L153" i="17"/>
  <c r="J37" i="20"/>
  <c r="K37" i="20"/>
  <c r="B282" i="3"/>
  <c r="A281" i="3"/>
  <c r="G54" i="3"/>
  <c r="G127" i="3"/>
  <c r="D172" i="15"/>
  <c r="A128" i="3"/>
  <c r="B129" i="3"/>
  <c r="A55" i="3"/>
  <c r="B56" i="3"/>
  <c r="L15" i="20"/>
  <c r="J16" i="20"/>
  <c r="K16" i="20"/>
  <c r="L37" i="20" l="1"/>
  <c r="A282" i="3"/>
  <c r="B283" i="3"/>
  <c r="B212" i="3"/>
  <c r="A211" i="3"/>
  <c r="G128" i="3"/>
  <c r="D185" i="15"/>
  <c r="G55" i="3"/>
  <c r="J187" i="17"/>
  <c r="B130" i="3"/>
  <c r="A129" i="3"/>
  <c r="G129" i="3" s="1"/>
  <c r="A56" i="3"/>
  <c r="G56" i="3" s="1"/>
  <c r="B57" i="3"/>
  <c r="L16" i="20"/>
  <c r="K17" i="20"/>
  <c r="J17" i="20"/>
  <c r="B284" i="3" l="1"/>
  <c r="A283" i="3"/>
  <c r="A212" i="3"/>
  <c r="B213" i="3"/>
  <c r="B131" i="3"/>
  <c r="A130" i="3"/>
  <c r="I159" i="17"/>
  <c r="L159" i="17"/>
  <c r="J159" i="17"/>
  <c r="K159" i="17"/>
  <c r="B58" i="3"/>
  <c r="A57" i="3"/>
  <c r="G57" i="3" s="1"/>
  <c r="L17" i="20"/>
  <c r="J18" i="20"/>
  <c r="K18" i="20"/>
  <c r="B214" i="3" l="1"/>
  <c r="A214" i="3" s="1"/>
  <c r="A213" i="3"/>
  <c r="A284" i="3"/>
  <c r="B285" i="3"/>
  <c r="A285" i="3" s="1"/>
  <c r="G130" i="3"/>
  <c r="I187" i="17"/>
  <c r="A131" i="3"/>
  <c r="G131" i="3" s="1"/>
  <c r="B132" i="3"/>
  <c r="A58" i="3"/>
  <c r="G58" i="3" s="1"/>
  <c r="B59" i="3"/>
  <c r="L18" i="20"/>
  <c r="J19" i="20"/>
  <c r="K19" i="20"/>
  <c r="K165" i="15" l="1"/>
  <c r="B133" i="3"/>
  <c r="A132" i="3"/>
  <c r="G132" i="3" s="1"/>
  <c r="A59" i="3"/>
  <c r="B60" i="3"/>
  <c r="H165" i="15" s="1"/>
  <c r="L19" i="20"/>
  <c r="J20" i="20"/>
  <c r="K20" i="20"/>
  <c r="G59" i="3" l="1"/>
  <c r="I178" i="15"/>
  <c r="I25" i="15" s="1"/>
  <c r="B134" i="3"/>
  <c r="A133" i="3"/>
  <c r="G133" i="3" s="1"/>
  <c r="B61" i="3"/>
  <c r="J165" i="15" s="1"/>
  <c r="A60" i="3"/>
  <c r="G60" i="3" s="1"/>
  <c r="L20" i="20"/>
  <c r="K21" i="20"/>
  <c r="J21" i="20"/>
  <c r="A134" i="3" l="1"/>
  <c r="G134" i="3" s="1"/>
  <c r="B135" i="3"/>
  <c r="B62" i="3"/>
  <c r="I165" i="15" s="1"/>
  <c r="A61" i="3"/>
  <c r="G61" i="3" s="1"/>
  <c r="K22" i="20"/>
  <c r="J22" i="20"/>
  <c r="L21" i="20"/>
  <c r="B136" i="3" l="1"/>
  <c r="A135" i="3"/>
  <c r="G135" i="3" s="1"/>
  <c r="I160" i="17"/>
  <c r="L160" i="17"/>
  <c r="J160" i="17"/>
  <c r="K160" i="17"/>
  <c r="A62" i="3"/>
  <c r="I191" i="15" s="1"/>
  <c r="I26" i="15" s="1"/>
  <c r="B63" i="3"/>
  <c r="K23" i="20"/>
  <c r="J23" i="20"/>
  <c r="L22" i="20"/>
  <c r="G62" i="3" l="1"/>
  <c r="B137" i="3"/>
  <c r="A136" i="3"/>
  <c r="G136" i="3" s="1"/>
  <c r="B64" i="3"/>
  <c r="A63" i="3"/>
  <c r="G63" i="3" s="1"/>
  <c r="K25" i="20"/>
  <c r="J25" i="20"/>
  <c r="L23" i="20"/>
  <c r="A137" i="3" l="1"/>
  <c r="B138" i="3"/>
  <c r="L161" i="17"/>
  <c r="J161" i="17"/>
  <c r="K161" i="17"/>
  <c r="I161" i="17"/>
  <c r="A64" i="3"/>
  <c r="B65" i="3"/>
  <c r="J26" i="20"/>
  <c r="K26" i="20"/>
  <c r="L25" i="20"/>
  <c r="G64" i="3" l="1"/>
  <c r="A138" i="3"/>
  <c r="G138" i="3" s="1"/>
  <c r="B139" i="3"/>
  <c r="G137" i="3"/>
  <c r="I189" i="17"/>
  <c r="A65" i="3"/>
  <c r="B66" i="3"/>
  <c r="L26" i="20"/>
  <c r="J27" i="20"/>
  <c r="K27" i="20"/>
  <c r="B140" i="3" l="1"/>
  <c r="A139" i="3"/>
  <c r="G65" i="3"/>
  <c r="L191" i="17"/>
  <c r="J191" i="17"/>
  <c r="A66" i="3"/>
  <c r="G66" i="3" s="1"/>
  <c r="B67" i="3"/>
  <c r="L27" i="20"/>
  <c r="K28" i="20"/>
  <c r="J28" i="20"/>
  <c r="B141" i="3" l="1"/>
  <c r="A140" i="3"/>
  <c r="J162" i="17"/>
  <c r="I162" i="17"/>
  <c r="L162" i="17"/>
  <c r="K162" i="17"/>
  <c r="A67" i="3"/>
  <c r="B68" i="3"/>
  <c r="K29" i="20"/>
  <c r="J29" i="20"/>
  <c r="L28" i="20"/>
  <c r="G140" i="3" l="1"/>
  <c r="I190" i="17"/>
  <c r="B142" i="3"/>
  <c r="A141" i="3"/>
  <c r="I163" i="17"/>
  <c r="J163" i="17"/>
  <c r="K163" i="17"/>
  <c r="L163" i="17"/>
  <c r="B69" i="3"/>
  <c r="A68" i="3"/>
  <c r="K30" i="20"/>
  <c r="J30" i="20"/>
  <c r="L29" i="20"/>
  <c r="G141" i="3" l="1"/>
  <c r="G191" i="17"/>
  <c r="F191" i="17"/>
  <c r="G219" i="17"/>
  <c r="K191" i="17"/>
  <c r="F219" i="17"/>
  <c r="I191" i="17"/>
  <c r="B143" i="3"/>
  <c r="A142" i="3"/>
  <c r="G142" i="3" s="1"/>
  <c r="B70" i="3"/>
  <c r="A69" i="3"/>
  <c r="L30" i="20"/>
  <c r="K31" i="20"/>
  <c r="J31" i="20"/>
  <c r="L219" i="17" l="1"/>
  <c r="J219" i="17"/>
  <c r="I219" i="17"/>
  <c r="K219" i="17"/>
  <c r="H219" i="17"/>
  <c r="A143" i="3"/>
  <c r="D168" i="15"/>
  <c r="D162" i="15"/>
  <c r="D161" i="15"/>
  <c r="J171" i="17"/>
  <c r="K171" i="17"/>
  <c r="I171" i="17"/>
  <c r="D164" i="15"/>
  <c r="J164" i="15" s="1"/>
  <c r="D158" i="15"/>
  <c r="L171" i="17"/>
  <c r="D163" i="15"/>
  <c r="H163" i="15" s="1"/>
  <c r="D159" i="15"/>
  <c r="F163" i="17"/>
  <c r="H191" i="17"/>
  <c r="G163" i="17"/>
  <c r="B71" i="3"/>
  <c r="A70" i="3"/>
  <c r="J32" i="20"/>
  <c r="K32" i="20"/>
  <c r="L31" i="20"/>
  <c r="H164" i="15" l="1"/>
  <c r="I163" i="15"/>
  <c r="K164" i="15"/>
  <c r="H163" i="17"/>
  <c r="M46" i="17" s="1"/>
  <c r="D46" i="17" s="1"/>
  <c r="I164" i="15"/>
  <c r="J163" i="15"/>
  <c r="K163" i="15"/>
  <c r="J199" i="17"/>
  <c r="D188" i="15"/>
  <c r="D175" i="15"/>
  <c r="D171" i="15"/>
  <c r="K227" i="17"/>
  <c r="D184" i="15"/>
  <c r="I227" i="17"/>
  <c r="D190" i="15"/>
  <c r="I190" i="15" s="1"/>
  <c r="I24" i="15" s="1"/>
  <c r="D177" i="15"/>
  <c r="H177" i="15" s="1"/>
  <c r="H23" i="15" s="1"/>
  <c r="J227" i="17"/>
  <c r="D174" i="15"/>
  <c r="D187" i="15"/>
  <c r="A71" i="3"/>
  <c r="B72" i="3"/>
  <c r="A72" i="3" s="1"/>
  <c r="L32" i="20"/>
  <c r="J44" i="20"/>
  <c r="K44" i="20"/>
  <c r="I177" i="15" l="1"/>
  <c r="I23" i="15" s="1"/>
  <c r="H190" i="15"/>
  <c r="H24" i="15" s="1"/>
  <c r="K177" i="15"/>
  <c r="J177" i="15"/>
  <c r="J23" i="15" s="1"/>
  <c r="J190" i="15"/>
  <c r="J24" i="15" s="1"/>
  <c r="K190" i="15"/>
  <c r="K24" i="15" s="1"/>
  <c r="L44" i="20"/>
  <c r="K45" i="20"/>
  <c r="J45" i="20"/>
  <c r="K46" i="20" l="1"/>
  <c r="J46" i="20"/>
  <c r="L45" i="20"/>
  <c r="J47" i="20" l="1"/>
  <c r="K47" i="20"/>
  <c r="L46" i="20"/>
  <c r="L47" i="20" l="1"/>
  <c r="J48" i="20"/>
  <c r="K48" i="20"/>
  <c r="L48" i="20" l="1"/>
  <c r="K49" i="20"/>
  <c r="J49" i="20"/>
  <c r="K50" i="20" l="1"/>
  <c r="J50" i="20"/>
  <c r="L49" i="20"/>
  <c r="L50" i="20" l="1"/>
  <c r="K51" i="20"/>
  <c r="J51" i="20"/>
  <c r="K52" i="20" l="1"/>
  <c r="J52" i="20"/>
  <c r="H161" i="15"/>
  <c r="L51" i="20"/>
  <c r="L52" i="20" l="1"/>
  <c r="J53" i="20"/>
  <c r="K53" i="20"/>
  <c r="L53" i="20" l="1"/>
  <c r="J54" i="20"/>
  <c r="K54" i="20"/>
  <c r="K55" i="20" l="1"/>
  <c r="J55" i="20"/>
  <c r="L54" i="20"/>
  <c r="K56" i="20" l="1"/>
  <c r="J56" i="20"/>
  <c r="L55" i="20"/>
  <c r="K57" i="20" l="1"/>
  <c r="J57" i="20"/>
  <c r="L56" i="20"/>
  <c r="K59" i="20" l="1"/>
  <c r="J59" i="20"/>
  <c r="L57" i="20"/>
  <c r="J58" i="20"/>
  <c r="K58" i="20"/>
  <c r="L59" i="20" l="1"/>
  <c r="L58" i="20"/>
  <c r="J60" i="20"/>
  <c r="K60" i="20"/>
  <c r="L60" i="20" l="1"/>
  <c r="K61" i="20"/>
  <c r="J61" i="20"/>
  <c r="K62" i="20" l="1"/>
  <c r="J62" i="20"/>
  <c r="L61" i="20"/>
  <c r="L62" i="20" l="1"/>
  <c r="K63" i="20"/>
  <c r="J63" i="20"/>
  <c r="L63" i="20" l="1"/>
  <c r="J64" i="20"/>
  <c r="K64" i="20"/>
  <c r="L64" i="20" l="1"/>
  <c r="K65" i="20"/>
  <c r="J65" i="20"/>
  <c r="J66" i="20" l="1"/>
  <c r="K66" i="20"/>
  <c r="L65" i="20"/>
  <c r="L66" i="20" l="1"/>
  <c r="K67" i="20"/>
  <c r="J67" i="20"/>
  <c r="J68" i="20" l="1"/>
  <c r="K68" i="20"/>
  <c r="H159" i="15"/>
  <c r="K159" i="15"/>
  <c r="L67" i="20"/>
  <c r="L68" i="20" l="1"/>
  <c r="J69" i="20"/>
  <c r="K69" i="20"/>
  <c r="L69" i="20" l="1"/>
  <c r="A4" i="3" l="1"/>
  <c r="J178" i="15" s="1"/>
  <c r="J25" i="15" s="1"/>
  <c r="K191" i="15" l="1"/>
  <c r="K26" i="15" s="1"/>
  <c r="H178" i="15"/>
  <c r="H25" i="15" s="1"/>
  <c r="K178" i="15"/>
  <c r="K25" i="15" s="1"/>
  <c r="H191" i="15"/>
  <c r="H26" i="15" s="1"/>
  <c r="J191" i="15"/>
  <c r="J26" i="15" s="1"/>
  <c r="I199" i="17"/>
  <c r="D176" i="15"/>
  <c r="J176" i="15" s="1"/>
  <c r="L199" i="17"/>
  <c r="K199" i="17"/>
  <c r="D189" i="15"/>
  <c r="I189" i="15" s="1"/>
  <c r="L227" i="17"/>
  <c r="K175" i="17"/>
  <c r="X14" i="17" s="1"/>
  <c r="Q14" i="17" s="1"/>
  <c r="L175" i="17"/>
  <c r="Y14" i="17" s="1"/>
  <c r="R14" i="17" s="1"/>
  <c r="I175" i="17"/>
  <c r="V14" i="17" s="1"/>
  <c r="L174" i="17"/>
  <c r="I174" i="17"/>
  <c r="K174" i="17"/>
  <c r="J174" i="17"/>
  <c r="K168" i="15"/>
  <c r="H168" i="15"/>
  <c r="K161" i="15"/>
  <c r="J168" i="15"/>
  <c r="I161" i="15"/>
  <c r="I168" i="15"/>
  <c r="H158" i="15"/>
  <c r="J161" i="15"/>
  <c r="J158" i="15"/>
  <c r="I158" i="15"/>
  <c r="K158" i="15"/>
  <c r="I162" i="15"/>
  <c r="J159" i="15"/>
  <c r="I159" i="15"/>
  <c r="K160" i="15"/>
  <c r="I160" i="15"/>
  <c r="J162" i="15"/>
  <c r="H162" i="15"/>
  <c r="K162" i="15"/>
  <c r="H160" i="15"/>
  <c r="J160" i="15"/>
  <c r="G4" i="3"/>
  <c r="K189" i="15" l="1"/>
  <c r="H189" i="15"/>
  <c r="K176" i="15"/>
  <c r="K23" i="15" s="1"/>
  <c r="D151" i="1"/>
  <c r="E150" i="1"/>
  <c r="D152" i="1"/>
  <c r="D148" i="1"/>
  <c r="E148" i="1"/>
  <c r="E146" i="1"/>
  <c r="D150" i="1"/>
  <c r="E151" i="1"/>
  <c r="E149" i="1"/>
  <c r="D147" i="1"/>
  <c r="D146" i="1"/>
  <c r="E147" i="1"/>
  <c r="E152" i="1"/>
  <c r="D149" i="1"/>
  <c r="J189" i="15"/>
  <c r="AA14" i="17"/>
  <c r="O14" i="17"/>
  <c r="H176" i="15"/>
  <c r="I176" i="15"/>
  <c r="F179" i="15"/>
  <c r="W12" i="17"/>
  <c r="P12" i="17" s="1"/>
  <c r="X12" i="17"/>
  <c r="Q12" i="17" s="1"/>
  <c r="V12" i="17"/>
  <c r="Y12" i="17"/>
  <c r="R12" i="17" s="1"/>
  <c r="J176" i="17"/>
  <c r="W18" i="17" s="1"/>
  <c r="P18" i="17" s="1"/>
  <c r="G176" i="17"/>
  <c r="I176" i="17"/>
  <c r="K176" i="17"/>
  <c r="L176" i="17"/>
  <c r="F152" i="1" l="1"/>
  <c r="J14" i="17"/>
  <c r="T14" i="17"/>
  <c r="K14" i="17"/>
  <c r="F151" i="1"/>
  <c r="F149" i="1"/>
  <c r="F148" i="1"/>
  <c r="F147" i="1"/>
  <c r="F146" i="1"/>
  <c r="H14" i="17"/>
  <c r="I14" i="17"/>
  <c r="F150" i="1"/>
  <c r="O12" i="17"/>
  <c r="AA12" i="17"/>
  <c r="E191" i="15"/>
  <c r="E176" i="15"/>
  <c r="F203" i="17"/>
  <c r="F190" i="15"/>
  <c r="Y16" i="17"/>
  <c r="R16" i="17" s="1"/>
  <c r="W16" i="17"/>
  <c r="P16" i="17" s="1"/>
  <c r="X16" i="17"/>
  <c r="Q16" i="17" s="1"/>
  <c r="V16" i="17"/>
  <c r="S14" i="17"/>
  <c r="T12" i="17" l="1"/>
  <c r="U14" i="17"/>
  <c r="G14" i="17" s="1"/>
  <c r="L203" i="17"/>
  <c r="Y15" i="17" s="1"/>
  <c r="R15" i="17" s="1"/>
  <c r="K203" i="17"/>
  <c r="X15" i="17" s="1"/>
  <c r="Q15" i="17" s="1"/>
  <c r="J203" i="17"/>
  <c r="W15" i="17" s="1"/>
  <c r="P15" i="17" s="1"/>
  <c r="I203" i="17"/>
  <c r="V15" i="17" s="1"/>
  <c r="O16" i="17"/>
  <c r="S16" i="17" s="1"/>
  <c r="AA16" i="17"/>
  <c r="J12" i="17"/>
  <c r="I12" i="17"/>
  <c r="H12" i="17"/>
  <c r="K12" i="17"/>
  <c r="K177" i="17"/>
  <c r="F177" i="17"/>
  <c r="I177" i="17"/>
  <c r="G205" i="17"/>
  <c r="F205" i="17"/>
  <c r="L177" i="17"/>
  <c r="G177" i="17"/>
  <c r="S12" i="17"/>
  <c r="T16" i="17" l="1"/>
  <c r="L205" i="17"/>
  <c r="K205" i="17"/>
  <c r="J205" i="17"/>
  <c r="I205" i="17"/>
  <c r="H205" i="17"/>
  <c r="K16" i="17"/>
  <c r="I16" i="17"/>
  <c r="H16" i="17"/>
  <c r="U16" i="17"/>
  <c r="G16" i="17" s="1"/>
  <c r="J16" i="17"/>
  <c r="AA15" i="17"/>
  <c r="O15" i="17"/>
  <c r="V18" i="17"/>
  <c r="F149" i="17"/>
  <c r="X18" i="17"/>
  <c r="Q18" i="17" s="1"/>
  <c r="G178" i="17"/>
  <c r="L178" i="17"/>
  <c r="Y22" i="17" s="1"/>
  <c r="R22" i="17" s="1"/>
  <c r="I178" i="17"/>
  <c r="K178" i="17"/>
  <c r="X24" i="17" s="1"/>
  <c r="Q24" i="17" s="1"/>
  <c r="J178" i="17"/>
  <c r="W22" i="17" s="1"/>
  <c r="P22" i="17" s="1"/>
  <c r="F206" i="17"/>
  <c r="F178" i="17"/>
  <c r="G206" i="17"/>
  <c r="G149" i="17"/>
  <c r="H177" i="17"/>
  <c r="Y18" i="17"/>
  <c r="R18" i="17" s="1"/>
  <c r="T15" i="17" l="1"/>
  <c r="S15" i="17"/>
  <c r="I15" i="17"/>
  <c r="H15" i="17"/>
  <c r="K15" i="17"/>
  <c r="J15" i="17"/>
  <c r="J206" i="17"/>
  <c r="I206" i="17"/>
  <c r="H206" i="17"/>
  <c r="K206" i="17"/>
  <c r="L206" i="17"/>
  <c r="O18" i="17"/>
  <c r="S18" i="17" s="1"/>
  <c r="AA18" i="17"/>
  <c r="H149" i="17"/>
  <c r="M18" i="17" s="1"/>
  <c r="D18" i="17" s="1"/>
  <c r="F150" i="17"/>
  <c r="W20" i="17"/>
  <c r="P20" i="17" s="1"/>
  <c r="X20" i="17"/>
  <c r="Q20" i="17" s="1"/>
  <c r="V20" i="17"/>
  <c r="Y20" i="17"/>
  <c r="R20" i="17" s="1"/>
  <c r="H178" i="17"/>
  <c r="G150" i="17"/>
  <c r="T18" i="17" l="1"/>
  <c r="U18" i="17" s="1"/>
  <c r="G18" i="17" s="1"/>
  <c r="U15" i="17"/>
  <c r="G15" i="17" s="1"/>
  <c r="K18" i="17"/>
  <c r="J18" i="17"/>
  <c r="I18" i="17"/>
  <c r="H18" i="17"/>
  <c r="O20" i="17"/>
  <c r="S20" i="17" s="1"/>
  <c r="AA20" i="17"/>
  <c r="H150" i="17"/>
  <c r="M20" i="17" s="1"/>
  <c r="D20" i="17" s="1"/>
  <c r="T20" i="17" l="1"/>
  <c r="U20" i="17" s="1"/>
  <c r="G20" i="17" s="1"/>
  <c r="K20" i="17"/>
  <c r="I20" i="17"/>
  <c r="H20" i="17"/>
  <c r="J20" i="17"/>
  <c r="F179" i="17"/>
  <c r="G179" i="17"/>
  <c r="I179" i="17"/>
  <c r="F207" i="17"/>
  <c r="G207" i="17"/>
  <c r="K179" i="17"/>
  <c r="L207" i="17" l="1"/>
  <c r="K207" i="17"/>
  <c r="J207" i="17"/>
  <c r="I207" i="17"/>
  <c r="H207" i="17"/>
  <c r="X22" i="17"/>
  <c r="Q22" i="17" s="1"/>
  <c r="G180" i="17"/>
  <c r="L180" i="17"/>
  <c r="F180" i="17"/>
  <c r="G208" i="17"/>
  <c r="J180" i="17"/>
  <c r="F208" i="17"/>
  <c r="I180" i="17"/>
  <c r="V22" i="17"/>
  <c r="G151" i="17"/>
  <c r="H179" i="17"/>
  <c r="F151" i="17"/>
  <c r="O22" i="17" l="1"/>
  <c r="AA22" i="17"/>
  <c r="K208" i="17"/>
  <c r="L208" i="17"/>
  <c r="I208" i="17"/>
  <c r="J208" i="17"/>
  <c r="H208" i="17"/>
  <c r="H151" i="17"/>
  <c r="M22" i="17" s="1"/>
  <c r="D22" i="17" s="1"/>
  <c r="F152" i="17"/>
  <c r="W24" i="17"/>
  <c r="P24" i="17" s="1"/>
  <c r="Y24" i="17"/>
  <c r="R24" i="17" s="1"/>
  <c r="H180" i="17"/>
  <c r="G152" i="17"/>
  <c r="V24" i="17"/>
  <c r="T22" i="17" l="1"/>
  <c r="S22" i="17"/>
  <c r="O24" i="17"/>
  <c r="S24" i="17" s="1"/>
  <c r="AA24" i="17"/>
  <c r="J22" i="17"/>
  <c r="I22" i="17"/>
  <c r="H22" i="17"/>
  <c r="K22" i="17"/>
  <c r="H152" i="17"/>
  <c r="M24" i="17" s="1"/>
  <c r="D24" i="17" s="1"/>
  <c r="U22" i="17" l="1"/>
  <c r="G22" i="17" s="1"/>
  <c r="T24" i="17"/>
  <c r="U24" i="17" s="1"/>
  <c r="G24" i="17" s="1"/>
  <c r="J24" i="17"/>
  <c r="I24" i="17"/>
  <c r="K24" i="17"/>
  <c r="H24" i="17"/>
  <c r="G209" i="17"/>
  <c r="K181" i="17"/>
  <c r="L181" i="17"/>
  <c r="G181" i="17"/>
  <c r="J181" i="17"/>
  <c r="F181" i="17"/>
  <c r="I181" i="17"/>
  <c r="F209" i="17"/>
  <c r="L209" i="17" l="1"/>
  <c r="K209" i="17"/>
  <c r="J209" i="17"/>
  <c r="I209" i="17"/>
  <c r="H209" i="17"/>
  <c r="F176" i="15"/>
  <c r="G175" i="17"/>
  <c r="F202" i="17"/>
  <c r="G202" i="17"/>
  <c r="E177" i="15"/>
  <c r="F177" i="15"/>
  <c r="F189" i="15"/>
  <c r="E190" i="15"/>
  <c r="E179" i="15"/>
  <c r="G203" i="17"/>
  <c r="H203" i="17" s="1"/>
  <c r="G204" i="17"/>
  <c r="E192" i="15"/>
  <c r="F175" i="17"/>
  <c r="E178" i="15"/>
  <c r="E165" i="15" s="1"/>
  <c r="F192" i="15"/>
  <c r="F178" i="15"/>
  <c r="F176" i="17"/>
  <c r="G174" i="17"/>
  <c r="F204" i="17"/>
  <c r="E189" i="15"/>
  <c r="E163" i="15" s="1"/>
  <c r="F174" i="17"/>
  <c r="F191" i="15"/>
  <c r="G191" i="15" s="1"/>
  <c r="X26" i="17"/>
  <c r="Q26" i="17" s="1"/>
  <c r="Y26" i="17"/>
  <c r="R26" i="17" s="1"/>
  <c r="V26" i="17"/>
  <c r="F153" i="17"/>
  <c r="W26" i="17"/>
  <c r="P26" i="17" s="1"/>
  <c r="G153" i="17"/>
  <c r="H181" i="17"/>
  <c r="O26" i="17" l="1"/>
  <c r="S26" i="17" s="1"/>
  <c r="AA26" i="17"/>
  <c r="K202" i="17"/>
  <c r="X13" i="17" s="1"/>
  <c r="Q13" i="17" s="1"/>
  <c r="L202" i="17"/>
  <c r="Y13" i="17" s="1"/>
  <c r="R13" i="17" s="1"/>
  <c r="J202" i="17"/>
  <c r="W13" i="17" s="1"/>
  <c r="P13" i="17" s="1"/>
  <c r="H202" i="17"/>
  <c r="I202" i="17"/>
  <c r="V13" i="17" s="1"/>
  <c r="I204" i="17"/>
  <c r="L204" i="17"/>
  <c r="Y27" i="17" s="1"/>
  <c r="R27" i="17" s="1"/>
  <c r="K204" i="17"/>
  <c r="X27" i="17" s="1"/>
  <c r="Q27" i="17" s="1"/>
  <c r="H204" i="17"/>
  <c r="J204" i="17"/>
  <c r="F146" i="17"/>
  <c r="G147" i="17"/>
  <c r="E166" i="15"/>
  <c r="G179" i="15"/>
  <c r="E164" i="15"/>
  <c r="G190" i="15"/>
  <c r="G24" i="15" s="1"/>
  <c r="F148" i="17"/>
  <c r="H176" i="17"/>
  <c r="G189" i="15"/>
  <c r="F165" i="15"/>
  <c r="G165" i="15" s="1"/>
  <c r="G178" i="15"/>
  <c r="G177" i="15"/>
  <c r="F164" i="15"/>
  <c r="G192" i="15"/>
  <c r="G28" i="15" s="1"/>
  <c r="F166" i="15"/>
  <c r="G146" i="17"/>
  <c r="H174" i="17"/>
  <c r="H175" i="17"/>
  <c r="F147" i="17"/>
  <c r="G148" i="17"/>
  <c r="F163" i="15"/>
  <c r="G163" i="15" s="1"/>
  <c r="G176" i="15"/>
  <c r="H153" i="17"/>
  <c r="M26" i="17" s="1"/>
  <c r="D26" i="17" s="1"/>
  <c r="T26" i="17" l="1"/>
  <c r="U26" i="17" s="1"/>
  <c r="G26" i="17" s="1"/>
  <c r="G26" i="15"/>
  <c r="W17" i="17"/>
  <c r="P17" i="17" s="1"/>
  <c r="W19" i="17"/>
  <c r="P19" i="17" s="1"/>
  <c r="W21" i="17"/>
  <c r="P21" i="17" s="1"/>
  <c r="W23" i="17"/>
  <c r="P23" i="17" s="1"/>
  <c r="W25" i="17"/>
  <c r="P25" i="17" s="1"/>
  <c r="Y17" i="17"/>
  <c r="R17" i="17" s="1"/>
  <c r="Y19" i="17"/>
  <c r="R19" i="17" s="1"/>
  <c r="Y21" i="17"/>
  <c r="R21" i="17" s="1"/>
  <c r="Y23" i="17"/>
  <c r="R23" i="17" s="1"/>
  <c r="Y25" i="17"/>
  <c r="R25" i="17" s="1"/>
  <c r="X17" i="17"/>
  <c r="Q17" i="17" s="1"/>
  <c r="X19" i="17"/>
  <c r="Q19" i="17" s="1"/>
  <c r="X21" i="17"/>
  <c r="Q21" i="17" s="1"/>
  <c r="X23" i="17"/>
  <c r="Q23" i="17" s="1"/>
  <c r="X25" i="17"/>
  <c r="Q25" i="17" s="1"/>
  <c r="V17" i="17"/>
  <c r="AA17" i="17" s="1"/>
  <c r="V19" i="17"/>
  <c r="V21" i="17"/>
  <c r="V23" i="17"/>
  <c r="V25" i="17"/>
  <c r="W27" i="17"/>
  <c r="P27" i="17" s="1"/>
  <c r="V27" i="17"/>
  <c r="H146" i="17"/>
  <c r="O13" i="17"/>
  <c r="AA13" i="17"/>
  <c r="K26" i="17"/>
  <c r="I26" i="17"/>
  <c r="J26" i="17"/>
  <c r="H26" i="17"/>
  <c r="H147" i="17"/>
  <c r="M14" i="17" s="1"/>
  <c r="D14" i="17" s="1"/>
  <c r="G166" i="15"/>
  <c r="D27" i="15" s="1"/>
  <c r="G23" i="15"/>
  <c r="G25" i="15"/>
  <c r="G27" i="15"/>
  <c r="H148" i="17"/>
  <c r="M16" i="17" s="1"/>
  <c r="D16" i="17" s="1"/>
  <c r="G164" i="15"/>
  <c r="D23" i="15" s="1"/>
  <c r="M12" i="17" l="1"/>
  <c r="D12" i="17" s="1"/>
  <c r="T13" i="17"/>
  <c r="AA21" i="17"/>
  <c r="O21" i="17"/>
  <c r="S21" i="17" s="1"/>
  <c r="O17" i="17"/>
  <c r="H17" i="17" s="1"/>
  <c r="O23" i="17"/>
  <c r="S23" i="17" s="1"/>
  <c r="AA23" i="17"/>
  <c r="O27" i="17"/>
  <c r="AA27" i="17"/>
  <c r="O19" i="17"/>
  <c r="AA19" i="17"/>
  <c r="O25" i="17"/>
  <c r="AA25" i="17"/>
  <c r="I13" i="17"/>
  <c r="H13" i="17"/>
  <c r="K13" i="17"/>
  <c r="J13" i="17"/>
  <c r="S13" i="17"/>
  <c r="J17" i="17"/>
  <c r="I17" i="17"/>
  <c r="K17" i="17"/>
  <c r="D25" i="15"/>
  <c r="T23" i="17" l="1"/>
  <c r="U23" i="17" s="1"/>
  <c r="G23" i="17" s="1"/>
  <c r="T21" i="17"/>
  <c r="U21" i="17" s="1"/>
  <c r="G21" i="17" s="1"/>
  <c r="H19" i="17"/>
  <c r="T19" i="17"/>
  <c r="I27" i="17"/>
  <c r="T27" i="17"/>
  <c r="K25" i="17"/>
  <c r="T25" i="17"/>
  <c r="T17" i="17"/>
  <c r="H23" i="17"/>
  <c r="S19" i="17"/>
  <c r="S17" i="17"/>
  <c r="K19" i="17"/>
  <c r="H25" i="17"/>
  <c r="J19" i="17"/>
  <c r="I23" i="17"/>
  <c r="J23" i="17"/>
  <c r="J25" i="17"/>
  <c r="I19" i="17"/>
  <c r="K23" i="17"/>
  <c r="I25" i="17"/>
  <c r="H27" i="17"/>
  <c r="J27" i="17"/>
  <c r="K27" i="17"/>
  <c r="S25" i="17"/>
  <c r="S27" i="17"/>
  <c r="H21" i="17"/>
  <c r="I21" i="17"/>
  <c r="J21" i="17"/>
  <c r="K21" i="17"/>
  <c r="U13" i="17"/>
  <c r="G13" i="17" s="1"/>
  <c r="J182" i="17"/>
  <c r="G210" i="17"/>
  <c r="G182" i="17"/>
  <c r="F210" i="17"/>
  <c r="I182" i="17"/>
  <c r="V30" i="17" s="1"/>
  <c r="K182" i="17"/>
  <c r="L182" i="17"/>
  <c r="Y30" i="17" s="1"/>
  <c r="R30" i="17" s="1"/>
  <c r="F182" i="17"/>
  <c r="U19" i="17" l="1"/>
  <c r="G19" i="17" s="1"/>
  <c r="U25" i="17"/>
  <c r="G25" i="17" s="1"/>
  <c r="U17" i="17"/>
  <c r="G17" i="17" s="1"/>
  <c r="U27" i="17"/>
  <c r="G27" i="17" s="1"/>
  <c r="K210" i="17"/>
  <c r="X29" i="17" s="1"/>
  <c r="Q29" i="17" s="1"/>
  <c r="L210" i="17"/>
  <c r="Y29" i="17" s="1"/>
  <c r="R29" i="17" s="1"/>
  <c r="J210" i="17"/>
  <c r="W29" i="17" s="1"/>
  <c r="P29" i="17" s="1"/>
  <c r="I210" i="17"/>
  <c r="V29" i="17" s="1"/>
  <c r="H210" i="17"/>
  <c r="O30" i="17"/>
  <c r="AA30" i="17"/>
  <c r="Y28" i="17"/>
  <c r="R28" i="17" s="1"/>
  <c r="X28" i="17"/>
  <c r="Q28" i="17" s="1"/>
  <c r="V28" i="17"/>
  <c r="H182" i="17"/>
  <c r="G154" i="17"/>
  <c r="J183" i="17"/>
  <c r="G211" i="17"/>
  <c r="F211" i="17"/>
  <c r="G183" i="17"/>
  <c r="K183" i="17"/>
  <c r="F183" i="17"/>
  <c r="F154" i="17"/>
  <c r="W28" i="17"/>
  <c r="P28" i="17" s="1"/>
  <c r="O29" i="17" l="1"/>
  <c r="AA29" i="17"/>
  <c r="O28" i="17"/>
  <c r="S28" i="17" s="1"/>
  <c r="AA28" i="17"/>
  <c r="H211" i="17"/>
  <c r="K211" i="17"/>
  <c r="X31" i="17" s="1"/>
  <c r="Q31" i="17" s="1"/>
  <c r="J211" i="17"/>
  <c r="W31" i="17" s="1"/>
  <c r="P31" i="17" s="1"/>
  <c r="L211" i="17"/>
  <c r="Y31" i="17" s="1"/>
  <c r="R31" i="17" s="1"/>
  <c r="I211" i="17"/>
  <c r="V31" i="17" s="1"/>
  <c r="K30" i="17"/>
  <c r="H30" i="17"/>
  <c r="H154" i="17"/>
  <c r="M28" i="17" s="1"/>
  <c r="D28" i="17" s="1"/>
  <c r="H183" i="17"/>
  <c r="G155" i="17"/>
  <c r="W30" i="17"/>
  <c r="P30" i="17" s="1"/>
  <c r="I30" i="17" s="1"/>
  <c r="X30" i="17"/>
  <c r="Q30" i="17" s="1"/>
  <c r="J30" i="17" s="1"/>
  <c r="F155" i="17"/>
  <c r="T29" i="17" l="1"/>
  <c r="T28" i="17"/>
  <c r="U28" i="17" s="1"/>
  <c r="G28" i="17" s="1"/>
  <c r="T30" i="17"/>
  <c r="S29" i="17"/>
  <c r="O31" i="17"/>
  <c r="AA31" i="17"/>
  <c r="T31" i="17" s="1"/>
  <c r="K28" i="17"/>
  <c r="J28" i="17"/>
  <c r="I28" i="17"/>
  <c r="H28" i="17"/>
  <c r="K29" i="17"/>
  <c r="J29" i="17"/>
  <c r="I29" i="17"/>
  <c r="H29" i="17"/>
  <c r="S30" i="17"/>
  <c r="H155" i="17"/>
  <c r="M30" i="17" s="1"/>
  <c r="D30" i="17" s="1"/>
  <c r="F212" i="17"/>
  <c r="G184" i="17"/>
  <c r="I184" i="17"/>
  <c r="L184" i="17"/>
  <c r="J184" i="17"/>
  <c r="G212" i="17"/>
  <c r="F184" i="17"/>
  <c r="K184" i="17"/>
  <c r="U29" i="17" l="1"/>
  <c r="G29" i="17" s="1"/>
  <c r="U30" i="17"/>
  <c r="G30" i="17" s="1"/>
  <c r="H212" i="17"/>
  <c r="L212" i="17"/>
  <c r="Y33" i="17" s="1"/>
  <c r="R33" i="17" s="1"/>
  <c r="K212" i="17"/>
  <c r="X33" i="17" s="1"/>
  <c r="Q33" i="17" s="1"/>
  <c r="I212" i="17"/>
  <c r="V33" i="17" s="1"/>
  <c r="J212" i="17"/>
  <c r="W33" i="17" s="1"/>
  <c r="P33" i="17" s="1"/>
  <c r="K31" i="17"/>
  <c r="I31" i="17"/>
  <c r="J31" i="17"/>
  <c r="H31" i="17"/>
  <c r="S31" i="17"/>
  <c r="F156" i="17"/>
  <c r="Y32" i="17"/>
  <c r="R32" i="17" s="1"/>
  <c r="V32" i="17"/>
  <c r="G156" i="17"/>
  <c r="H184" i="17"/>
  <c r="W32" i="17"/>
  <c r="P32" i="17" s="1"/>
  <c r="X32" i="17"/>
  <c r="Q32" i="17" s="1"/>
  <c r="U31" i="17" l="1"/>
  <c r="G31" i="17" s="1"/>
  <c r="O33" i="17"/>
  <c r="AA33" i="17"/>
  <c r="O32" i="17"/>
  <c r="AA32" i="17"/>
  <c r="H156" i="17"/>
  <c r="M32" i="17" s="1"/>
  <c r="D32" i="17" s="1"/>
  <c r="T32" i="17" l="1"/>
  <c r="T33" i="17"/>
  <c r="S32" i="17"/>
  <c r="K32" i="17"/>
  <c r="J32" i="17"/>
  <c r="I32" i="17"/>
  <c r="H32" i="17"/>
  <c r="J33" i="17"/>
  <c r="H33" i="17"/>
  <c r="K33" i="17"/>
  <c r="I33" i="17"/>
  <c r="S33" i="17"/>
  <c r="G213" i="17"/>
  <c r="I185" i="17"/>
  <c r="G185" i="17"/>
  <c r="L185" i="17"/>
  <c r="F213" i="17"/>
  <c r="F185" i="17"/>
  <c r="K185" i="17"/>
  <c r="J185" i="17"/>
  <c r="U32" i="17" l="1"/>
  <c r="G32" i="17" s="1"/>
  <c r="U33" i="17"/>
  <c r="G33" i="17" s="1"/>
  <c r="K213" i="17"/>
  <c r="X35" i="17" s="1"/>
  <c r="Q35" i="17" s="1"/>
  <c r="L213" i="17"/>
  <c r="Y35" i="17" s="1"/>
  <c r="R35" i="17" s="1"/>
  <c r="I213" i="17"/>
  <c r="V51" i="17" s="1"/>
  <c r="H213" i="17"/>
  <c r="J213" i="17"/>
  <c r="W35" i="17" s="1"/>
  <c r="P35" i="17" s="1"/>
  <c r="V49" i="17"/>
  <c r="V59" i="17"/>
  <c r="V38" i="17"/>
  <c r="V44" i="17"/>
  <c r="V46" i="17"/>
  <c r="V48" i="17"/>
  <c r="V50" i="17"/>
  <c r="V52" i="17"/>
  <c r="V54" i="17"/>
  <c r="V56" i="17"/>
  <c r="V58" i="17"/>
  <c r="V60" i="17"/>
  <c r="V36" i="17"/>
  <c r="V42" i="17"/>
  <c r="W34" i="17"/>
  <c r="P34" i="17" s="1"/>
  <c r="X34" i="17"/>
  <c r="Q34" i="17" s="1"/>
  <c r="F157" i="17"/>
  <c r="Y34" i="17"/>
  <c r="R34" i="17" s="1"/>
  <c r="H185" i="17"/>
  <c r="G157" i="17"/>
  <c r="V34" i="17"/>
  <c r="V55" i="17" l="1"/>
  <c r="V57" i="17"/>
  <c r="V47" i="17"/>
  <c r="O47" i="17" s="1"/>
  <c r="V61" i="17"/>
  <c r="O34" i="17"/>
  <c r="AA34" i="17"/>
  <c r="O38" i="17"/>
  <c r="AA38" i="17"/>
  <c r="H157" i="17"/>
  <c r="M34" i="17" s="1"/>
  <c r="D34" i="17" s="1"/>
  <c r="V35" i="17"/>
  <c r="O46" i="17"/>
  <c r="AA46" i="17"/>
  <c r="O44" i="17"/>
  <c r="AA44" i="17"/>
  <c r="O42" i="17"/>
  <c r="AA42" i="17"/>
  <c r="O36" i="17"/>
  <c r="AA36" i="17"/>
  <c r="V53" i="17"/>
  <c r="K34" i="17" l="1"/>
  <c r="T34" i="17"/>
  <c r="H38" i="17"/>
  <c r="AA47" i="17"/>
  <c r="I34" i="17"/>
  <c r="J34" i="17"/>
  <c r="H42" i="17"/>
  <c r="H44" i="17"/>
  <c r="O35" i="17"/>
  <c r="AA35" i="17"/>
  <c r="H34" i="17"/>
  <c r="S34" i="17"/>
  <c r="H46" i="17"/>
  <c r="H36" i="17"/>
  <c r="F186" i="17"/>
  <c r="L186" i="17"/>
  <c r="F214" i="17"/>
  <c r="G214" i="17"/>
  <c r="J186" i="17"/>
  <c r="G186" i="17"/>
  <c r="K186" i="17"/>
  <c r="T35" i="17" l="1"/>
  <c r="H47" i="17"/>
  <c r="U34" i="17"/>
  <c r="G34" i="17" s="1"/>
  <c r="I35" i="17"/>
  <c r="J35" i="17"/>
  <c r="H35" i="17"/>
  <c r="K35" i="17"/>
  <c r="S35" i="17"/>
  <c r="L214" i="17"/>
  <c r="Y37" i="17" s="1"/>
  <c r="R37" i="17" s="1"/>
  <c r="K214" i="17"/>
  <c r="X37" i="17" s="1"/>
  <c r="Q37" i="17" s="1"/>
  <c r="J214" i="17"/>
  <c r="W37" i="17" s="1"/>
  <c r="P37" i="17" s="1"/>
  <c r="I214" i="17"/>
  <c r="V37" i="17" s="1"/>
  <c r="H214" i="17"/>
  <c r="W47" i="17"/>
  <c r="P47" i="17" s="1"/>
  <c r="W55" i="17"/>
  <c r="W57" i="17"/>
  <c r="W49" i="17"/>
  <c r="W51" i="17"/>
  <c r="W61" i="17"/>
  <c r="W59" i="17"/>
  <c r="W53" i="17"/>
  <c r="Y48" i="17"/>
  <c r="Y54" i="17"/>
  <c r="Y58" i="17"/>
  <c r="Y46" i="17"/>
  <c r="R46" i="17" s="1"/>
  <c r="K46" i="17" s="1"/>
  <c r="Y56" i="17"/>
  <c r="Y60" i="17"/>
  <c r="Y50" i="17"/>
  <c r="Y52" i="17"/>
  <c r="Y47" i="17"/>
  <c r="R47" i="17" s="1"/>
  <c r="K47" i="17" s="1"/>
  <c r="Y49" i="17"/>
  <c r="Y61" i="17"/>
  <c r="Y53" i="17"/>
  <c r="Y57" i="17"/>
  <c r="Y51" i="17"/>
  <c r="Y55" i="17"/>
  <c r="Y59" i="17"/>
  <c r="W38" i="17"/>
  <c r="P38" i="17" s="1"/>
  <c r="W46" i="17"/>
  <c r="P46" i="17" s="1"/>
  <c r="W48" i="17"/>
  <c r="W60" i="17"/>
  <c r="W50" i="17"/>
  <c r="W52" i="17"/>
  <c r="W58" i="17"/>
  <c r="W54" i="17"/>
  <c r="W56" i="17"/>
  <c r="W40" i="17"/>
  <c r="P40" i="17" s="1"/>
  <c r="X46" i="17"/>
  <c r="Q46" i="17" s="1"/>
  <c r="J46" i="17" s="1"/>
  <c r="X48" i="17"/>
  <c r="X56" i="17"/>
  <c r="X50" i="17"/>
  <c r="X60" i="17"/>
  <c r="X52" i="17"/>
  <c r="X54" i="17"/>
  <c r="X58" i="17"/>
  <c r="X51" i="17"/>
  <c r="X47" i="17"/>
  <c r="Q47" i="17" s="1"/>
  <c r="J47" i="17" s="1"/>
  <c r="X49" i="17"/>
  <c r="X57" i="17"/>
  <c r="X59" i="17"/>
  <c r="X53" i="17"/>
  <c r="X55" i="17"/>
  <c r="X61" i="17"/>
  <c r="X36" i="17"/>
  <c r="Q36" i="17" s="1"/>
  <c r="J36" i="17" s="1"/>
  <c r="G158" i="17"/>
  <c r="H186" i="17"/>
  <c r="W36" i="17"/>
  <c r="P36" i="17" s="1"/>
  <c r="Y36" i="17"/>
  <c r="R36" i="17" s="1"/>
  <c r="K36" i="17" s="1"/>
  <c r="F158" i="17"/>
  <c r="T46" i="17" l="1"/>
  <c r="T47" i="17"/>
  <c r="T36" i="17"/>
  <c r="U35" i="17"/>
  <c r="G35" i="17" s="1"/>
  <c r="O37" i="17"/>
  <c r="AA37" i="17"/>
  <c r="I47" i="17"/>
  <c r="I36" i="17"/>
  <c r="I38" i="17"/>
  <c r="I46" i="17"/>
  <c r="S46" i="17"/>
  <c r="S47" i="17"/>
  <c r="H158" i="17"/>
  <c r="M36" i="17" s="1"/>
  <c r="D36" i="17" s="1"/>
  <c r="S36" i="17"/>
  <c r="T37" i="17" l="1"/>
  <c r="U46" i="17"/>
  <c r="G46" i="17" s="1"/>
  <c r="S37" i="17"/>
  <c r="U36" i="17"/>
  <c r="G36" i="17" s="1"/>
  <c r="U47" i="17"/>
  <c r="G47" i="17" s="1"/>
  <c r="H37" i="17"/>
  <c r="I37" i="17"/>
  <c r="J37" i="17"/>
  <c r="K37" i="17"/>
  <c r="L187" i="17"/>
  <c r="G187" i="17"/>
  <c r="K187" i="17"/>
  <c r="F187" i="17"/>
  <c r="G215" i="17"/>
  <c r="F215" i="17"/>
  <c r="U37" i="17" l="1"/>
  <c r="G37" i="17" s="1"/>
  <c r="J215" i="17"/>
  <c r="W39" i="17" s="1"/>
  <c r="P39" i="17" s="1"/>
  <c r="I215" i="17"/>
  <c r="V39" i="17" s="1"/>
  <c r="H215" i="17"/>
  <c r="K215" i="17"/>
  <c r="X39" i="17" s="1"/>
  <c r="Q39" i="17" s="1"/>
  <c r="L215" i="17"/>
  <c r="Y39" i="17" s="1"/>
  <c r="R39" i="17" s="1"/>
  <c r="F159" i="17"/>
  <c r="X38" i="17"/>
  <c r="Q38" i="17" s="1"/>
  <c r="H187" i="17"/>
  <c r="G159" i="17"/>
  <c r="Y38" i="17"/>
  <c r="R38" i="17" s="1"/>
  <c r="K38" i="17" s="1"/>
  <c r="T38" i="17" l="1"/>
  <c r="H159" i="17"/>
  <c r="M38" i="17" s="1"/>
  <c r="D38" i="17" s="1"/>
  <c r="O39" i="17"/>
  <c r="AA39" i="17"/>
  <c r="J38" i="17"/>
  <c r="L188" i="17"/>
  <c r="G188" i="17"/>
  <c r="I188" i="17"/>
  <c r="G216" i="17"/>
  <c r="K188" i="17"/>
  <c r="F216" i="17"/>
  <c r="F188" i="17"/>
  <c r="S38" i="17"/>
  <c r="H172" i="15"/>
  <c r="K39" i="17" l="1"/>
  <c r="T39" i="17"/>
  <c r="U38" i="17"/>
  <c r="G38" i="17" s="1"/>
  <c r="H39" i="17"/>
  <c r="I39" i="17"/>
  <c r="J39" i="17"/>
  <c r="S39" i="17"/>
  <c r="J216" i="17"/>
  <c r="W41" i="17" s="1"/>
  <c r="P41" i="17" s="1"/>
  <c r="I216" i="17"/>
  <c r="V41" i="17" s="1"/>
  <c r="H216" i="17"/>
  <c r="L216" i="17"/>
  <c r="Y41" i="17" s="1"/>
  <c r="R41" i="17" s="1"/>
  <c r="K216" i="17"/>
  <c r="X41" i="17" s="1"/>
  <c r="Q41" i="17" s="1"/>
  <c r="V40" i="17"/>
  <c r="Y40" i="17"/>
  <c r="R40" i="17" s="1"/>
  <c r="X40" i="17"/>
  <c r="Q40" i="17" s="1"/>
  <c r="G160" i="17"/>
  <c r="H188" i="17"/>
  <c r="F160" i="17"/>
  <c r="U39" i="17" l="1"/>
  <c r="G39" i="17" s="1"/>
  <c r="O41" i="17"/>
  <c r="AA41" i="17"/>
  <c r="O40" i="17"/>
  <c r="S40" i="17" s="1"/>
  <c r="AA40" i="17"/>
  <c r="H160" i="17"/>
  <c r="M40" i="17" s="1"/>
  <c r="D40" i="17" s="1"/>
  <c r="T40" i="17" l="1"/>
  <c r="U40" i="17" s="1"/>
  <c r="G40" i="17" s="1"/>
  <c r="I41" i="17"/>
  <c r="T41" i="17"/>
  <c r="O9" i="17"/>
  <c r="O7" i="17" s="1"/>
  <c r="H9" i="17" s="1"/>
  <c r="I40" i="17"/>
  <c r="K40" i="17"/>
  <c r="J40" i="17"/>
  <c r="H41" i="17"/>
  <c r="S41" i="17"/>
  <c r="H40" i="17"/>
  <c r="K41" i="17"/>
  <c r="J41" i="17"/>
  <c r="J189" i="17"/>
  <c r="G189" i="17"/>
  <c r="F189" i="17"/>
  <c r="L189" i="17"/>
  <c r="K189" i="17"/>
  <c r="F217" i="17"/>
  <c r="G217" i="17"/>
  <c r="U41" i="17" l="1"/>
  <c r="G41" i="17" s="1"/>
  <c r="J217" i="17"/>
  <c r="W43" i="17" s="1"/>
  <c r="P43" i="17" s="1"/>
  <c r="H217" i="17"/>
  <c r="L217" i="17"/>
  <c r="Y43" i="17" s="1"/>
  <c r="R43" i="17" s="1"/>
  <c r="I217" i="17"/>
  <c r="V43" i="17" s="1"/>
  <c r="K217" i="17"/>
  <c r="X43" i="17" s="1"/>
  <c r="Q43" i="17" s="1"/>
  <c r="X42" i="17"/>
  <c r="Q42" i="17" s="1"/>
  <c r="J42" i="17" s="1"/>
  <c r="Y42" i="17"/>
  <c r="R42" i="17" s="1"/>
  <c r="K42" i="17" s="1"/>
  <c r="F161" i="17"/>
  <c r="K190" i="17"/>
  <c r="L190" i="17"/>
  <c r="G190" i="17"/>
  <c r="F190" i="17"/>
  <c r="J190" i="17"/>
  <c r="F218" i="17"/>
  <c r="G218" i="17"/>
  <c r="H189" i="17"/>
  <c r="G161" i="17"/>
  <c r="W42" i="17"/>
  <c r="P42" i="17" s="1"/>
  <c r="T42" i="17" l="1"/>
  <c r="O43" i="17"/>
  <c r="AA43" i="17"/>
  <c r="F227" i="17"/>
  <c r="L218" i="17"/>
  <c r="Y45" i="17" s="1"/>
  <c r="R45" i="17" s="1"/>
  <c r="R10" i="17" s="1"/>
  <c r="R8" i="17" s="1"/>
  <c r="K10" i="17" s="1"/>
  <c r="J218" i="17"/>
  <c r="W45" i="17" s="1"/>
  <c r="P45" i="17" s="1"/>
  <c r="P10" i="17" s="1"/>
  <c r="P8" i="17" s="1"/>
  <c r="I10" i="17" s="1"/>
  <c r="I218" i="17"/>
  <c r="V45" i="17" s="1"/>
  <c r="K218" i="17"/>
  <c r="X45" i="17" s="1"/>
  <c r="Q45" i="17" s="1"/>
  <c r="H218" i="17"/>
  <c r="I42" i="17"/>
  <c r="J145" i="1"/>
  <c r="G145" i="1"/>
  <c r="I145" i="1"/>
  <c r="H145" i="1"/>
  <c r="H161" i="17"/>
  <c r="M42" i="17" s="1"/>
  <c r="D42" i="17" s="1"/>
  <c r="S42" i="17"/>
  <c r="W44" i="17"/>
  <c r="P44" i="17" s="1"/>
  <c r="G162" i="17"/>
  <c r="G171" i="17" s="1"/>
  <c r="H190" i="17"/>
  <c r="G199" i="17"/>
  <c r="X44" i="17"/>
  <c r="Q44" i="17" s="1"/>
  <c r="F162" i="17"/>
  <c r="F171" i="17" s="1"/>
  <c r="F199" i="17"/>
  <c r="J150" i="1"/>
  <c r="H149" i="1"/>
  <c r="G147" i="1"/>
  <c r="G152" i="1"/>
  <c r="J151" i="1"/>
  <c r="J148" i="1"/>
  <c r="H148" i="1"/>
  <c r="I151" i="1"/>
  <c r="I152" i="1"/>
  <c r="J149" i="1"/>
  <c r="J146" i="1"/>
  <c r="H147" i="1"/>
  <c r="J152" i="1"/>
  <c r="J147" i="1"/>
  <c r="I150" i="1"/>
  <c r="H152" i="1"/>
  <c r="H150" i="1"/>
  <c r="G148" i="1"/>
  <c r="I147" i="1"/>
  <c r="G146" i="1"/>
  <c r="I148" i="1"/>
  <c r="I146" i="1"/>
  <c r="G151" i="1"/>
  <c r="H151" i="1"/>
  <c r="G149" i="1"/>
  <c r="H146" i="1"/>
  <c r="I149" i="1"/>
  <c r="G150" i="1"/>
  <c r="Y44" i="17"/>
  <c r="R44" i="17" s="1"/>
  <c r="G227" i="17"/>
  <c r="H227" i="17" s="1"/>
  <c r="O11" i="1" l="1"/>
  <c r="K11" i="1" s="1"/>
  <c r="F11" i="1" s="1"/>
  <c r="T44" i="17"/>
  <c r="K43" i="17"/>
  <c r="T43" i="17"/>
  <c r="U42" i="17"/>
  <c r="G42" i="17" s="1"/>
  <c r="O45" i="17"/>
  <c r="O10" i="17" s="1"/>
  <c r="O8" i="17" s="1"/>
  <c r="H10" i="17" s="1"/>
  <c r="AA45" i="17"/>
  <c r="H43" i="17"/>
  <c r="I43" i="17"/>
  <c r="S43" i="17"/>
  <c r="Q10" i="17"/>
  <c r="Q8" i="17" s="1"/>
  <c r="J10" i="17" s="1"/>
  <c r="J43" i="17"/>
  <c r="P9" i="17"/>
  <c r="P7" i="17" s="1"/>
  <c r="I44" i="17"/>
  <c r="Q9" i="17"/>
  <c r="Q7" i="17" s="1"/>
  <c r="J9" i="17" s="1"/>
  <c r="J44" i="17"/>
  <c r="R9" i="17"/>
  <c r="R7" i="17" s="1"/>
  <c r="K9" i="17" s="1"/>
  <c r="K44" i="17"/>
  <c r="O10" i="1"/>
  <c r="K10" i="1" s="1"/>
  <c r="F10" i="1" s="1"/>
  <c r="P10" i="1"/>
  <c r="L10" i="1" s="1"/>
  <c r="G10" i="1" s="1"/>
  <c r="P8" i="1"/>
  <c r="L8" i="1" s="1"/>
  <c r="G8" i="1" s="1"/>
  <c r="P11" i="1"/>
  <c r="L11" i="1" s="1"/>
  <c r="G11" i="1" s="1"/>
  <c r="P9" i="1"/>
  <c r="L9" i="1" s="1"/>
  <c r="G9" i="1" s="1"/>
  <c r="O8" i="1"/>
  <c r="K8" i="1" s="1"/>
  <c r="F8" i="1" s="1"/>
  <c r="H199" i="17"/>
  <c r="H162" i="17"/>
  <c r="M44" i="17" s="1"/>
  <c r="D44" i="17" s="1"/>
  <c r="H171" i="17"/>
  <c r="O9" i="1"/>
  <c r="K9" i="1" s="1"/>
  <c r="S44" i="17"/>
  <c r="J45" i="17" l="1"/>
  <c r="T45" i="17"/>
  <c r="U43" i="17"/>
  <c r="G43" i="17" s="1"/>
  <c r="K45" i="17"/>
  <c r="U44" i="17"/>
  <c r="G44" i="17" s="1"/>
  <c r="N10" i="17"/>
  <c r="N8" i="17" s="1"/>
  <c r="G10" i="17" s="1"/>
  <c r="N9" i="17"/>
  <c r="N7" i="17" s="1"/>
  <c r="G9" i="17" s="1"/>
  <c r="H45" i="17"/>
  <c r="I45" i="17"/>
  <c r="S45" i="17"/>
  <c r="N12" i="1"/>
  <c r="L12" i="1"/>
  <c r="N13" i="1" s="1"/>
  <c r="F9" i="1"/>
  <c r="M12" i="1"/>
  <c r="K12" i="1"/>
  <c r="I9" i="17"/>
  <c r="U45" i="17" l="1"/>
  <c r="G45" i="17" s="1"/>
  <c r="M7" i="17"/>
  <c r="D9" i="17" s="1"/>
  <c r="F13" i="1"/>
  <c r="L13" i="1"/>
  <c r="P13" i="1" s="1"/>
  <c r="P12" i="1"/>
  <c r="G12" i="1" s="1"/>
  <c r="M13" i="1"/>
  <c r="O12" i="1"/>
  <c r="F12" i="1" s="1"/>
  <c r="K13" i="1"/>
  <c r="O13" i="1" l="1"/>
  <c r="D181" i="15"/>
  <c r="J181" i="15" s="1"/>
  <c r="J8" i="15" s="1"/>
  <c r="F181" i="15"/>
  <c r="D194" i="15"/>
  <c r="K194" i="15" s="1"/>
  <c r="K9" i="15" s="1"/>
  <c r="E181" i="15"/>
  <c r="E194" i="15"/>
  <c r="F194" i="15"/>
  <c r="F172" i="15"/>
  <c r="F173" i="15"/>
  <c r="E186" i="15"/>
  <c r="F186" i="15"/>
  <c r="E185" i="15"/>
  <c r="F185" i="15"/>
  <c r="E172" i="15"/>
  <c r="E187" i="15"/>
  <c r="E174" i="15"/>
  <c r="F187" i="15"/>
  <c r="F174" i="15"/>
  <c r="E188" i="15"/>
  <c r="E175" i="15"/>
  <c r="F188" i="15"/>
  <c r="E184" i="15"/>
  <c r="E171" i="15"/>
  <c r="F184" i="15"/>
  <c r="F171" i="15"/>
  <c r="K174" i="15"/>
  <c r="K17" i="15" s="1"/>
  <c r="K187" i="15"/>
  <c r="K18" i="15" s="1"/>
  <c r="J174" i="15"/>
  <c r="J17" i="15" s="1"/>
  <c r="I187" i="15"/>
  <c r="I18" i="15" s="1"/>
  <c r="I174" i="15"/>
  <c r="I17" i="15" s="1"/>
  <c r="F175" i="15"/>
  <c r="J171" i="15"/>
  <c r="J11" i="15" s="1"/>
  <c r="H184" i="15"/>
  <c r="H12" i="15" s="1"/>
  <c r="J187" i="15"/>
  <c r="J18" i="15" s="1"/>
  <c r="E173" i="15"/>
  <c r="H174" i="15"/>
  <c r="H17" i="15" s="1"/>
  <c r="H187" i="15"/>
  <c r="H18" i="15" s="1"/>
  <c r="I184" i="15"/>
  <c r="I12" i="15" s="1"/>
  <c r="K184" i="15"/>
  <c r="K12" i="15" s="1"/>
  <c r="K171" i="15"/>
  <c r="K11" i="15" s="1"/>
  <c r="I171" i="15"/>
  <c r="I11" i="15" s="1"/>
  <c r="J184" i="15"/>
  <c r="J12" i="15" s="1"/>
  <c r="H171" i="15"/>
  <c r="H11" i="15" s="1"/>
  <c r="I188" i="15"/>
  <c r="I175" i="15"/>
  <c r="J172" i="15"/>
  <c r="J185" i="15"/>
  <c r="J14" i="15" s="1"/>
  <c r="H185" i="15"/>
  <c r="H14" i="15" s="1"/>
  <c r="I186" i="15"/>
  <c r="I16" i="15" s="1"/>
  <c r="J186" i="15"/>
  <c r="J16" i="15" s="1"/>
  <c r="I173" i="15"/>
  <c r="I15" i="15" s="1"/>
  <c r="I185" i="15"/>
  <c r="I14" i="15" s="1"/>
  <c r="I172" i="15"/>
  <c r="K185" i="15"/>
  <c r="K14" i="15" s="1"/>
  <c r="K172" i="15"/>
  <c r="J175" i="15"/>
  <c r="J188" i="15"/>
  <c r="H188" i="15"/>
  <c r="K188" i="15"/>
  <c r="H175" i="15"/>
  <c r="H19" i="15" s="1"/>
  <c r="K175" i="15"/>
  <c r="H186" i="15"/>
  <c r="H16" i="15" s="1"/>
  <c r="H173" i="15"/>
  <c r="H15" i="15" s="1"/>
  <c r="K173" i="15"/>
  <c r="K15" i="15" s="1"/>
  <c r="K186" i="15"/>
  <c r="K16" i="15" s="1"/>
  <c r="J173" i="15"/>
  <c r="J15" i="15" s="1"/>
  <c r="K20" i="15" l="1"/>
  <c r="K22" i="15"/>
  <c r="J19" i="15"/>
  <c r="J20" i="15"/>
  <c r="J22" i="15"/>
  <c r="I20" i="15"/>
  <c r="I22" i="15"/>
  <c r="H20" i="15"/>
  <c r="H22" i="15"/>
  <c r="I19" i="15"/>
  <c r="K19" i="15"/>
  <c r="J21" i="15"/>
  <c r="J13" i="15"/>
  <c r="I21" i="15"/>
  <c r="I13" i="15"/>
  <c r="K21" i="15"/>
  <c r="K13" i="15"/>
  <c r="H21" i="15"/>
  <c r="H13" i="15"/>
  <c r="G187" i="15"/>
  <c r="G18" i="15" s="1"/>
  <c r="E161" i="15"/>
  <c r="E160" i="15"/>
  <c r="G171" i="15"/>
  <c r="G11" i="15" s="1"/>
  <c r="F158" i="15"/>
  <c r="G194" i="15"/>
  <c r="G9" i="15" s="1"/>
  <c r="H181" i="15"/>
  <c r="H8" i="15" s="1"/>
  <c r="G184" i="15"/>
  <c r="G12" i="15" s="1"/>
  <c r="E159" i="15"/>
  <c r="I194" i="15"/>
  <c r="I9" i="15" s="1"/>
  <c r="E158" i="15"/>
  <c r="G185" i="15"/>
  <c r="G14" i="15" s="1"/>
  <c r="H194" i="15"/>
  <c r="H9" i="15" s="1"/>
  <c r="F162" i="15"/>
  <c r="G175" i="15"/>
  <c r="G188" i="15"/>
  <c r="G186" i="15"/>
  <c r="G16" i="15" s="1"/>
  <c r="K181" i="15"/>
  <c r="K8" i="15" s="1"/>
  <c r="E162" i="15"/>
  <c r="E168" i="15"/>
  <c r="F160" i="15"/>
  <c r="G173" i="15"/>
  <c r="G15" i="15" s="1"/>
  <c r="F161" i="15"/>
  <c r="G174" i="15"/>
  <c r="G17" i="15" s="1"/>
  <c r="F159" i="15"/>
  <c r="G172" i="15"/>
  <c r="G13" i="15" s="1"/>
  <c r="F168" i="15"/>
  <c r="G181" i="15"/>
  <c r="G8" i="15" s="1"/>
  <c r="I181" i="15"/>
  <c r="I8" i="15" s="1"/>
  <c r="J194" i="15"/>
  <c r="J9" i="15" s="1"/>
  <c r="L6" i="20"/>
  <c r="G19" i="15" l="1"/>
  <c r="G20" i="15"/>
  <c r="G22" i="15"/>
  <c r="N33" i="20"/>
  <c r="O33" i="20" s="1"/>
  <c r="N35" i="20"/>
  <c r="O35" i="20" s="1"/>
  <c r="N37" i="20"/>
  <c r="O37" i="20" s="1"/>
  <c r="N41" i="20"/>
  <c r="O41" i="20" s="1"/>
  <c r="N42" i="20"/>
  <c r="O42" i="20" s="1"/>
  <c r="N39" i="20"/>
  <c r="O39" i="20" s="1"/>
  <c r="N36" i="20"/>
  <c r="O36" i="20" s="1"/>
  <c r="N38" i="20"/>
  <c r="O38" i="20" s="1"/>
  <c r="N40" i="20"/>
  <c r="O40" i="20" s="1"/>
  <c r="N43" i="20"/>
  <c r="O43" i="20" s="1"/>
  <c r="N34" i="20"/>
  <c r="O34" i="20" s="1"/>
  <c r="G161" i="15"/>
  <c r="D17" i="15" s="1"/>
  <c r="G21" i="15"/>
  <c r="G160" i="15"/>
  <c r="D15" i="15" s="1"/>
  <c r="G168" i="15"/>
  <c r="D8" i="15" s="1"/>
  <c r="G159" i="15"/>
  <c r="G158" i="15"/>
  <c r="D11" i="15" s="1"/>
  <c r="G162" i="15"/>
  <c r="N54" i="20"/>
  <c r="O54" i="20" s="1"/>
  <c r="N24" i="20"/>
  <c r="O24" i="20" s="1"/>
  <c r="N11" i="20"/>
  <c r="O11" i="20" s="1"/>
  <c r="N18" i="20"/>
  <c r="O18" i="20" s="1"/>
  <c r="N13" i="20"/>
  <c r="O13" i="20" s="1"/>
  <c r="N69" i="20"/>
  <c r="O69" i="20" s="1"/>
  <c r="N30" i="20"/>
  <c r="O30" i="20" s="1"/>
  <c r="N28" i="20"/>
  <c r="O28" i="20" s="1"/>
  <c r="N15" i="20"/>
  <c r="O15" i="20" s="1"/>
  <c r="N53" i="20"/>
  <c r="O53" i="20" s="1"/>
  <c r="N25" i="20"/>
  <c r="O25" i="20" s="1"/>
  <c r="N19" i="20"/>
  <c r="O19" i="20" s="1"/>
  <c r="N61" i="20"/>
  <c r="O61" i="20" s="1"/>
  <c r="N17" i="20"/>
  <c r="O17" i="20" s="1"/>
  <c r="N68" i="20"/>
  <c r="O68" i="20" s="1"/>
  <c r="N65" i="20"/>
  <c r="O65" i="20" s="1"/>
  <c r="N32" i="20"/>
  <c r="O32" i="20" s="1"/>
  <c r="N56" i="20"/>
  <c r="O56" i="20" s="1"/>
  <c r="N57" i="20"/>
  <c r="O57" i="20" s="1"/>
  <c r="N50" i="20"/>
  <c r="O50" i="20" s="1"/>
  <c r="N55" i="20"/>
  <c r="O55" i="20" s="1"/>
  <c r="N66" i="20"/>
  <c r="O66" i="20" s="1"/>
  <c r="N60" i="20"/>
  <c r="O60" i="20" s="1"/>
  <c r="N7" i="20"/>
  <c r="O7" i="20" s="1"/>
  <c r="N62" i="20"/>
  <c r="O62" i="20" s="1"/>
  <c r="N12" i="20"/>
  <c r="O12" i="20" s="1"/>
  <c r="N51" i="20"/>
  <c r="O51" i="20" s="1"/>
  <c r="N47" i="20"/>
  <c r="O47" i="20" s="1"/>
  <c r="N26" i="20"/>
  <c r="O26" i="20" s="1"/>
  <c r="N10" i="20"/>
  <c r="O10" i="20" s="1"/>
  <c r="N22" i="20"/>
  <c r="O22" i="20" s="1"/>
  <c r="N48" i="20"/>
  <c r="O48" i="20" s="1"/>
  <c r="N14" i="20"/>
  <c r="O14" i="20" s="1"/>
  <c r="N27" i="20"/>
  <c r="O27" i="20" s="1"/>
  <c r="N20" i="20"/>
  <c r="O20" i="20" s="1"/>
  <c r="N8" i="20"/>
  <c r="O8" i="20" s="1"/>
  <c r="N49" i="20"/>
  <c r="O49" i="20" s="1"/>
  <c r="N52" i="20"/>
  <c r="O52" i="20" s="1"/>
  <c r="N63" i="20"/>
  <c r="O63" i="20" s="1"/>
  <c r="N64" i="20"/>
  <c r="O64" i="20" s="1"/>
  <c r="N16" i="20"/>
  <c r="O16" i="20" s="1"/>
  <c r="N45" i="20"/>
  <c r="O45" i="20" s="1"/>
  <c r="N21" i="20"/>
  <c r="O21" i="20" s="1"/>
  <c r="N59" i="20"/>
  <c r="O59" i="20" s="1"/>
  <c r="N23" i="20"/>
  <c r="O23" i="20" s="1"/>
  <c r="N9" i="20"/>
  <c r="O9" i="20" s="1"/>
  <c r="N6" i="20"/>
  <c r="O6" i="20" s="1"/>
  <c r="N67" i="20"/>
  <c r="O67" i="20" s="1"/>
  <c r="N58" i="20"/>
  <c r="O58" i="20" s="1"/>
  <c r="N46" i="20"/>
  <c r="O46" i="20" s="1"/>
  <c r="N31" i="20"/>
  <c r="O31" i="20" s="1"/>
  <c r="N44" i="20"/>
  <c r="O44" i="20" s="1"/>
  <c r="N29" i="20"/>
  <c r="O29" i="20" s="1"/>
  <c r="D19" i="15" l="1"/>
  <c r="P39" i="20"/>
  <c r="P35" i="20"/>
  <c r="P43" i="20"/>
  <c r="P37" i="20"/>
  <c r="P41" i="20"/>
  <c r="P36" i="20"/>
  <c r="P40" i="20"/>
  <c r="P42" i="20"/>
  <c r="P34" i="20"/>
  <c r="P38" i="20"/>
  <c r="D13" i="15"/>
  <c r="D21" i="15"/>
  <c r="P33" i="20"/>
  <c r="P52" i="20"/>
  <c r="P47" i="20"/>
  <c r="P49" i="20"/>
  <c r="P9" i="20"/>
  <c r="P20" i="20"/>
  <c r="P29" i="20"/>
  <c r="P13" i="20"/>
  <c r="P7" i="20"/>
  <c r="P31" i="20"/>
  <c r="P45" i="20"/>
  <c r="P48" i="20"/>
  <c r="P60" i="20"/>
  <c r="P61" i="20"/>
  <c r="P11" i="20"/>
  <c r="P6" i="20"/>
  <c r="P56" i="20"/>
  <c r="P30" i="20"/>
  <c r="P12" i="20"/>
  <c r="P59" i="20"/>
  <c r="P68" i="20"/>
  <c r="P21" i="20"/>
  <c r="P17" i="20"/>
  <c r="P16" i="20"/>
  <c r="P22" i="20"/>
  <c r="P66" i="20"/>
  <c r="P19" i="20"/>
  <c r="P67" i="20"/>
  <c r="P15" i="20"/>
  <c r="P28" i="20"/>
  <c r="P32" i="20"/>
  <c r="P65" i="20"/>
  <c r="P27" i="20"/>
  <c r="P44" i="20"/>
  <c r="P18" i="20"/>
  <c r="P64" i="20"/>
  <c r="P10" i="20"/>
  <c r="P55" i="20"/>
  <c r="P25" i="20"/>
  <c r="P24" i="20"/>
  <c r="P57" i="20"/>
  <c r="P51" i="20"/>
  <c r="P8" i="20"/>
  <c r="P23" i="20"/>
  <c r="P69" i="20"/>
  <c r="P62" i="20"/>
  <c r="P14" i="20"/>
  <c r="P46" i="20"/>
  <c r="P58" i="20"/>
  <c r="P63" i="20"/>
  <c r="P26" i="20"/>
  <c r="P50" i="20"/>
  <c r="P53" i="20"/>
  <c r="P54" i="20"/>
  <c r="B40" i="20" l="1"/>
  <c r="C40" i="20" s="1"/>
  <c r="B35" i="20"/>
  <c r="C35" i="20" s="1"/>
  <c r="B36" i="20"/>
  <c r="C36" i="20" s="1"/>
  <c r="B37" i="20"/>
  <c r="C37" i="20" s="1"/>
  <c r="B39" i="20"/>
  <c r="C39" i="20" s="1"/>
  <c r="B41" i="20"/>
  <c r="C41" i="20" s="1"/>
  <c r="B42" i="20"/>
  <c r="C42" i="20" s="1"/>
  <c r="B38" i="20"/>
  <c r="C38" i="20" s="1"/>
  <c r="B34" i="20"/>
  <c r="C34" i="20" s="1"/>
  <c r="B43" i="20"/>
  <c r="C43" i="20" s="1"/>
  <c r="B22" i="20"/>
  <c r="C22" i="20" s="1"/>
  <c r="B65" i="20"/>
  <c r="C65" i="20" s="1"/>
  <c r="B55" i="20"/>
  <c r="C55" i="20" s="1"/>
  <c r="B45" i="20"/>
  <c r="C45" i="20" s="1"/>
  <c r="B25" i="20"/>
  <c r="C25" i="20" s="1"/>
  <c r="B15" i="20"/>
  <c r="C15" i="20" s="1"/>
  <c r="B64" i="20"/>
  <c r="C64" i="20" s="1"/>
  <c r="B54" i="20"/>
  <c r="C54" i="20" s="1"/>
  <c r="B44" i="20"/>
  <c r="C44" i="20" s="1"/>
  <c r="B24" i="20"/>
  <c r="C24" i="20" s="1"/>
  <c r="B14" i="20"/>
  <c r="C14" i="20" s="1"/>
  <c r="B63" i="20"/>
  <c r="C63" i="20" s="1"/>
  <c r="B53" i="20"/>
  <c r="C53" i="20" s="1"/>
  <c r="B33" i="20"/>
  <c r="C33" i="20" s="1"/>
  <c r="B23" i="20"/>
  <c r="C23" i="20" s="1"/>
  <c r="B13" i="20"/>
  <c r="C13" i="20" s="1"/>
  <c r="B62" i="20"/>
  <c r="C62" i="20" s="1"/>
  <c r="B52" i="20"/>
  <c r="C52" i="20" s="1"/>
  <c r="B32" i="20"/>
  <c r="C32" i="20" s="1"/>
  <c r="B12" i="20"/>
  <c r="C12" i="20" s="1"/>
  <c r="B61" i="20"/>
  <c r="C61" i="20" s="1"/>
  <c r="B51" i="20"/>
  <c r="C51" i="20" s="1"/>
  <c r="B31" i="20"/>
  <c r="C31" i="20" s="1"/>
  <c r="B21" i="20"/>
  <c r="C21" i="20" s="1"/>
  <c r="B11" i="20"/>
  <c r="C11" i="20" s="1"/>
  <c r="B60" i="20"/>
  <c r="C60" i="20" s="1"/>
  <c r="B50" i="20"/>
  <c r="C50" i="20" s="1"/>
  <c r="B30" i="20"/>
  <c r="C30" i="20" s="1"/>
  <c r="B20" i="20"/>
  <c r="C20" i="20" s="1"/>
  <c r="B10" i="20"/>
  <c r="C10" i="20" s="1"/>
  <c r="B69" i="20"/>
  <c r="C69" i="20" s="1"/>
  <c r="B59" i="20"/>
  <c r="C59" i="20" s="1"/>
  <c r="B49" i="20"/>
  <c r="C49" i="20" s="1"/>
  <c r="B29" i="20"/>
  <c r="C29" i="20" s="1"/>
  <c r="B19" i="20"/>
  <c r="C19" i="20" s="1"/>
  <c r="B9" i="20"/>
  <c r="C9" i="20" s="1"/>
  <c r="B68" i="20"/>
  <c r="C68" i="20" s="1"/>
  <c r="B58" i="20"/>
  <c r="C58" i="20" s="1"/>
  <c r="B48" i="20"/>
  <c r="C48" i="20" s="1"/>
  <c r="B28" i="20"/>
  <c r="C28" i="20" s="1"/>
  <c r="B18" i="20"/>
  <c r="C18" i="20" s="1"/>
  <c r="B8" i="20"/>
  <c r="C8" i="20" s="1"/>
  <c r="B67" i="20"/>
  <c r="C67" i="20" s="1"/>
  <c r="B57" i="20"/>
  <c r="C57" i="20" s="1"/>
  <c r="B47" i="20"/>
  <c r="C47" i="20" s="1"/>
  <c r="B27" i="20"/>
  <c r="C27" i="20" s="1"/>
  <c r="B17" i="20"/>
  <c r="C17" i="20" s="1"/>
  <c r="B7" i="20"/>
  <c r="C7" i="20" s="1"/>
  <c r="B66" i="20"/>
  <c r="C66" i="20" s="1"/>
  <c r="B56" i="20"/>
  <c r="C56" i="20" s="1"/>
  <c r="B46" i="20"/>
  <c r="C46" i="20" s="1"/>
  <c r="B26" i="20"/>
  <c r="C26" i="20" s="1"/>
  <c r="B16" i="20"/>
  <c r="C16" i="20" s="1"/>
  <c r="B6" i="20"/>
  <c r="C6" i="20" s="1"/>
  <c r="U12" i="17"/>
  <c r="G12" i="17" s="1"/>
</calcChain>
</file>

<file path=xl/sharedStrings.xml><?xml version="1.0" encoding="utf-8"?>
<sst xmlns="http://schemas.openxmlformats.org/spreadsheetml/2006/main" count="3981" uniqueCount="601">
  <si>
    <t>Internet Mystery Shop - Regional Summary</t>
  </si>
  <si>
    <t/>
  </si>
  <si>
    <t xml:space="preserve">Market
</t>
  </si>
  <si>
    <t>Call Attempt - Day 1</t>
  </si>
  <si>
    <t>Sent Video</t>
  </si>
  <si>
    <t>7+ Days Follow Up</t>
  </si>
  <si>
    <t>Manager Follow Up</t>
  </si>
  <si>
    <t>WEST REGION</t>
  </si>
  <si>
    <t>Shop 1</t>
  </si>
  <si>
    <t>Shop 2</t>
  </si>
  <si>
    <t>Arizona</t>
  </si>
  <si>
    <t>Indiana</t>
  </si>
  <si>
    <t>Michigan &amp; Minnesota</t>
  </si>
  <si>
    <t>Northern California</t>
  </si>
  <si>
    <t>Orange County</t>
  </si>
  <si>
    <t>Southern California</t>
  </si>
  <si>
    <t>Texas</t>
  </si>
  <si>
    <t>Wisconsin</t>
  </si>
  <si>
    <t xml:space="preserve"> </t>
  </si>
  <si>
    <t>Time Period</t>
  </si>
  <si>
    <t># Shops</t>
  </si>
  <si>
    <t>Shop</t>
  </si>
  <si>
    <t>Market</t>
  </si>
  <si>
    <t>Store Count</t>
  </si>
  <si>
    <t># Criteria</t>
  </si>
  <si>
    <t># Correct</t>
  </si>
  <si>
    <t>Total Score</t>
  </si>
  <si>
    <t>TOTAL</t>
  </si>
  <si>
    <t>WEST</t>
  </si>
  <si>
    <t>Acura</t>
  </si>
  <si>
    <t>Internet Mystery Shop - Market Summary</t>
  </si>
  <si>
    <t xml:space="preserve">Store
</t>
  </si>
  <si>
    <t>Shop Score</t>
  </si>
  <si>
    <t>Market Average</t>
  </si>
  <si>
    <t>Store</t>
  </si>
  <si>
    <t>Acura North Scottsdale</t>
  </si>
  <si>
    <t>Internet Mystery Shop - Store Detail</t>
  </si>
  <si>
    <t>Criteria</t>
  </si>
  <si>
    <t>45250_BMW of Ontario</t>
  </si>
  <si>
    <t>Call Attempt on Day 1</t>
  </si>
  <si>
    <t>Sent Video to Customer</t>
  </si>
  <si>
    <t>Follow Up for 7 or More Days</t>
  </si>
  <si>
    <t>Q1 Shop 1</t>
  </si>
  <si>
    <t>Q1 Shop 2</t>
  </si>
  <si>
    <t>Q2 Shop 1</t>
  </si>
  <si>
    <t>Q2 Shop 2</t>
  </si>
  <si>
    <t>Q3 Shop 1</t>
  </si>
  <si>
    <t>Q3 Shop 2</t>
  </si>
  <si>
    <t>Q4 Shop 1</t>
  </si>
  <si>
    <t>Q4 Shop 2</t>
  </si>
  <si>
    <t>Qtr/Shop No</t>
  </si>
  <si>
    <t>Mo-Yr-Store</t>
  </si>
  <si>
    <t>Person</t>
  </si>
  <si>
    <t>Primary</t>
  </si>
  <si>
    <t>Q1</t>
  </si>
  <si>
    <t>Patrick Smolen</t>
  </si>
  <si>
    <t>NO</t>
  </si>
  <si>
    <t>YES</t>
  </si>
  <si>
    <t>Acura of Escondido</t>
  </si>
  <si>
    <t>Jaxson Colclasure</t>
  </si>
  <si>
    <t>Audi Chandler</t>
  </si>
  <si>
    <t>Morgan Gorman</t>
  </si>
  <si>
    <t>Audi Escondido</t>
  </si>
  <si>
    <t>Julia Novack</t>
  </si>
  <si>
    <t>Audi North OC</t>
  </si>
  <si>
    <t>Callie Guiney</t>
  </si>
  <si>
    <t>Audi North Scottsdale</t>
  </si>
  <si>
    <t>Jayce Mehaffey</t>
  </si>
  <si>
    <t>Audi San Jose</t>
  </si>
  <si>
    <t>Payton Kolakowski</t>
  </si>
  <si>
    <t>Audi South Coast</t>
  </si>
  <si>
    <t>Chance Chiesa</t>
  </si>
  <si>
    <t>Bentley Scottsdale</t>
  </si>
  <si>
    <t>Bryson Wheaton</t>
  </si>
  <si>
    <t>BMW North Scottsdale</t>
  </si>
  <si>
    <t>Ella Wilczynski</t>
  </si>
  <si>
    <t>BMW of Austin</t>
  </si>
  <si>
    <t>Jackson Stange</t>
  </si>
  <si>
    <t>BMW of Bloomfield Hills</t>
  </si>
  <si>
    <t>Micah Matte</t>
  </si>
  <si>
    <t>BMW of Ontario</t>
  </si>
  <si>
    <t>Hannah Christoffersen</t>
  </si>
  <si>
    <t>BMW of San Diego</t>
  </si>
  <si>
    <t>Carter Lakin</t>
  </si>
  <si>
    <t>BMW/MINI of Escondido</t>
  </si>
  <si>
    <t>Bella Valera</t>
  </si>
  <si>
    <t>Capitol Acura</t>
  </si>
  <si>
    <t>Jack Weeks</t>
  </si>
  <si>
    <t>Capitol Honda</t>
  </si>
  <si>
    <t>Emilia Maslowski</t>
  </si>
  <si>
    <t>Crevier BMW</t>
  </si>
  <si>
    <t>Kaleb Rousey</t>
  </si>
  <si>
    <t>Crevier MINI</t>
  </si>
  <si>
    <t>Jordyn Croghan</t>
  </si>
  <si>
    <t>East Madison Toyota</t>
  </si>
  <si>
    <t>Claire Strange</t>
  </si>
  <si>
    <t>Genesis of Noblesville</t>
  </si>
  <si>
    <t>Oliver Rathburn</t>
  </si>
  <si>
    <t>Genesis of Round Rock</t>
  </si>
  <si>
    <t>Lyla Coffield</t>
  </si>
  <si>
    <t>Honda Leander</t>
  </si>
  <si>
    <t>Juan Beeks</t>
  </si>
  <si>
    <t>Honda North</t>
  </si>
  <si>
    <t>King Eyster</t>
  </si>
  <si>
    <t>Honda of Escondido</t>
  </si>
  <si>
    <t>Emily Pittman</t>
  </si>
  <si>
    <t>Hyundai of Noblesville</t>
  </si>
  <si>
    <t>Genesis Viggiano</t>
  </si>
  <si>
    <t>Hyundai of Pharr</t>
  </si>
  <si>
    <t>Andrea Gallman</t>
  </si>
  <si>
    <t>Kearny Mesa Acura</t>
  </si>
  <si>
    <t>Dawson Owsley</t>
  </si>
  <si>
    <t>Kearny Mesa Toyota</t>
  </si>
  <si>
    <t>Nova Voit</t>
  </si>
  <si>
    <t>Lamborghini North Scottsdale</t>
  </si>
  <si>
    <t>Oliver Lyons</t>
  </si>
  <si>
    <t>Land Rover Chandler</t>
  </si>
  <si>
    <t>Victoria Boyers</t>
  </si>
  <si>
    <t>Land Rover North Scottsdale</t>
  </si>
  <si>
    <t>Joel Sher</t>
  </si>
  <si>
    <t>Lexus of Austin</t>
  </si>
  <si>
    <t>Roman Bunce</t>
  </si>
  <si>
    <t>Lexus of Chandler</t>
  </si>
  <si>
    <t>Ashley Palmquist</t>
  </si>
  <si>
    <t>Lexus of Lakeway</t>
  </si>
  <si>
    <t>Bailey Broder</t>
  </si>
  <si>
    <t>Lexus San Diego</t>
  </si>
  <si>
    <t>Samuel Breton</t>
  </si>
  <si>
    <t>Lincoln South Coast</t>
  </si>
  <si>
    <t>Bradley Jeanbaptiste</t>
  </si>
  <si>
    <t>Mazda of Escondido</t>
  </si>
  <si>
    <t>Charlie Calbert</t>
  </si>
  <si>
    <t>Mercedes-Benz of Chandler</t>
  </si>
  <si>
    <t>Sebastian Helbling</t>
  </si>
  <si>
    <t>Mercedes-Benz of North Scottsdale</t>
  </si>
  <si>
    <t>Ariel Parkinson</t>
  </si>
  <si>
    <t>Mercedes-Benz of San Diego</t>
  </si>
  <si>
    <t>Jake Simonson</t>
  </si>
  <si>
    <t>MINI North Scottsdale</t>
  </si>
  <si>
    <t>Braxton Hawbaker</t>
  </si>
  <si>
    <t>MINI of Austin</t>
  </si>
  <si>
    <t>Noah Rufo</t>
  </si>
  <si>
    <t>MINI of Marin</t>
  </si>
  <si>
    <t>Aurora Mayo</t>
  </si>
  <si>
    <t>MINI of Ontario</t>
  </si>
  <si>
    <t>Madeline Peinado</t>
  </si>
  <si>
    <t>MINI of San Diego</t>
  </si>
  <si>
    <t>Katherine Petersen</t>
  </si>
  <si>
    <t>MINI of Tempe</t>
  </si>
  <si>
    <t>Presley Klawitter</t>
  </si>
  <si>
    <t>Motorwerks BMW</t>
  </si>
  <si>
    <t>Andrea Baratta</t>
  </si>
  <si>
    <t>Motorwerks MINI</t>
  </si>
  <si>
    <t>Christian Lobo</t>
  </si>
  <si>
    <t>Penske Chevrolet</t>
  </si>
  <si>
    <t>Emilia Hagedorn</t>
  </si>
  <si>
    <t>Penske Honda</t>
  </si>
  <si>
    <t>Nathaniel Mcknight</t>
  </si>
  <si>
    <t>Peter Pan BMW</t>
  </si>
  <si>
    <t>Damian Orf</t>
  </si>
  <si>
    <t>Porsche North Scottsdale</t>
  </si>
  <si>
    <t>Travis Uhler</t>
  </si>
  <si>
    <t>Porsche Stevens Creek</t>
  </si>
  <si>
    <t>Kaitlyn Wadleigh</t>
  </si>
  <si>
    <t>Round Rock Honda</t>
  </si>
  <si>
    <t>Kendall Kime</t>
  </si>
  <si>
    <t>Round Rock Hyundai</t>
  </si>
  <si>
    <t>Elliott Slemp</t>
  </si>
  <si>
    <t>Round Rock Toyota</t>
  </si>
  <si>
    <t>Michelle Sayer</t>
  </si>
  <si>
    <t>Scottsdale Ferrari Maserati</t>
  </si>
  <si>
    <t>Maddox Bernstein</t>
  </si>
  <si>
    <t>Subaru Orange Coast</t>
  </si>
  <si>
    <t>Maddox Jones</t>
  </si>
  <si>
    <t>Tempe Honda</t>
  </si>
  <si>
    <t>Amelia Seamster</t>
  </si>
  <si>
    <t>Toyota of Clovis</t>
  </si>
  <si>
    <t>Jason Wehr</t>
  </si>
  <si>
    <t>Toyota of Surprise</t>
  </si>
  <si>
    <t>Peter Schippers</t>
  </si>
  <si>
    <t>Volkswagen North Scottsdale</t>
  </si>
  <si>
    <t>Lily Velarde</t>
  </si>
  <si>
    <t>Volkswagen South Coast</t>
  </si>
  <si>
    <t>Savannah Lin</t>
  </si>
  <si>
    <t>Izabella Edmonds</t>
  </si>
  <si>
    <t>Bryce Mutch</t>
  </si>
  <si>
    <t>Ezra Cosgrove</t>
  </si>
  <si>
    <t>Mark Peavy</t>
  </si>
  <si>
    <t>Hannah Julius</t>
  </si>
  <si>
    <t>Rachel Beckner</t>
  </si>
  <si>
    <t>Angel Fraser</t>
  </si>
  <si>
    <t>Natalia Deuel</t>
  </si>
  <si>
    <t>Kameron Pipes</t>
  </si>
  <si>
    <t>Kylee Books</t>
  </si>
  <si>
    <t>Mila Allender</t>
  </si>
  <si>
    <t>Ariana Shugart</t>
  </si>
  <si>
    <t>Luca Nantz</t>
  </si>
  <si>
    <t>Cora Eddins</t>
  </si>
  <si>
    <t>Kyle Ndiaye</t>
  </si>
  <si>
    <t>Mason Sylvester</t>
  </si>
  <si>
    <t>Emily Alcocer</t>
  </si>
  <si>
    <t>Daniela Mendiola</t>
  </si>
  <si>
    <t>Derek Helfrich</t>
  </si>
  <si>
    <t>Annabelle Chinchilla</t>
  </si>
  <si>
    <t>Sofia Kubicki</t>
  </si>
  <si>
    <t>Kenneth Cerrone</t>
  </si>
  <si>
    <t>Travis Goley</t>
  </si>
  <si>
    <t>Kaleb Luber</t>
  </si>
  <si>
    <t>Michelle Brozek</t>
  </si>
  <si>
    <t>Hunter Kyzer</t>
  </si>
  <si>
    <t>Kaitlyn Heltzel</t>
  </si>
  <si>
    <t>Elizabeth Cromartie</t>
  </si>
  <si>
    <t>Anthony Lockley</t>
  </si>
  <si>
    <t>Mary Shattuck</t>
  </si>
  <si>
    <t>Ivan Reynaga</t>
  </si>
  <si>
    <t>Colin Spraggins</t>
  </si>
  <si>
    <t>Jeremiah Ladue</t>
  </si>
  <si>
    <t>Molly Braxton</t>
  </si>
  <si>
    <t>Lexus of Madison</t>
  </si>
  <si>
    <t>Adam Weise</t>
  </si>
  <si>
    <t>Kennedy Ulery</t>
  </si>
  <si>
    <t>Addison Saling</t>
  </si>
  <si>
    <t>Stella Brahm</t>
  </si>
  <si>
    <t>Gabriel Barndt</t>
  </si>
  <si>
    <t>Mary Brodeur</t>
  </si>
  <si>
    <t>Tyler Chu</t>
  </si>
  <si>
    <t>Declan Thong</t>
  </si>
  <si>
    <t>Jade Beckworth</t>
  </si>
  <si>
    <t>Natalia Tyre</t>
  </si>
  <si>
    <t>Jax Scearce</t>
  </si>
  <si>
    <t>Alexandria Vangelder</t>
  </si>
  <si>
    <t>Juliana Ankeny</t>
  </si>
  <si>
    <t>Spencer Hunnicutt</t>
  </si>
  <si>
    <t>Rylan Sprouse</t>
  </si>
  <si>
    <t>Genesis Bolanos</t>
  </si>
  <si>
    <t>Camila Huezo</t>
  </si>
  <si>
    <t>Eric Jenkins</t>
  </si>
  <si>
    <t>Jesus Semler</t>
  </si>
  <si>
    <t>Allison Rizer</t>
  </si>
  <si>
    <t>Madelyn Bell</t>
  </si>
  <si>
    <t>Nathan Wellington</t>
  </si>
  <si>
    <t>Elise Navin</t>
  </si>
  <si>
    <t>Parker Baisden</t>
  </si>
  <si>
    <t>Ryder Quigg</t>
  </si>
  <si>
    <t>Adeline Gregory</t>
  </si>
  <si>
    <t>August Dorgan</t>
  </si>
  <si>
    <t>Cali Squibb</t>
  </si>
  <si>
    <t>Owen Lunsford</t>
  </si>
  <si>
    <t>Rachel Shaw</t>
  </si>
  <si>
    <t>Q2</t>
  </si>
  <si>
    <t>Owen Hochberg</t>
  </si>
  <si>
    <t>Hannah Hain</t>
  </si>
  <si>
    <t>Colton Pasek</t>
  </si>
  <si>
    <t>Ella Straughter</t>
  </si>
  <si>
    <t>Kevin Mcquaid</t>
  </si>
  <si>
    <t>Amy Sloane</t>
  </si>
  <si>
    <t>Trinity Straughan</t>
  </si>
  <si>
    <t>Gunner Gile</t>
  </si>
  <si>
    <t>Quinn Mcferrin</t>
  </si>
  <si>
    <t>Wesley Morris</t>
  </si>
  <si>
    <t>Mila Frock</t>
  </si>
  <si>
    <t>Damien Glaspie</t>
  </si>
  <si>
    <t>Sofia Kluge</t>
  </si>
  <si>
    <t>Raymond Fales</t>
  </si>
  <si>
    <t>Abigail Sova</t>
  </si>
  <si>
    <t>Carter Shaheen</t>
  </si>
  <si>
    <t>Tessa Lamer</t>
  </si>
  <si>
    <t>Samuel Skidmore</t>
  </si>
  <si>
    <t>Mila Orduno</t>
  </si>
  <si>
    <t>Isaac Lasalle</t>
  </si>
  <si>
    <t>Layla Nyland</t>
  </si>
  <si>
    <t>Israel Monte</t>
  </si>
  <si>
    <t>Skylar Briant</t>
  </si>
  <si>
    <t>Santiago Macneill</t>
  </si>
  <si>
    <t>Cora Bogner</t>
  </si>
  <si>
    <t>Matthew Millay</t>
  </si>
  <si>
    <t>Trinity Fifield</t>
  </si>
  <si>
    <t>Ivan Basulto</t>
  </si>
  <si>
    <t>Brielle Lein</t>
  </si>
  <si>
    <t>Carter Tarantino</t>
  </si>
  <si>
    <t>Gracie Bench</t>
  </si>
  <si>
    <t>Carter Fischbach</t>
  </si>
  <si>
    <t>Giselle Roessler</t>
  </si>
  <si>
    <t>Cayden Larocque</t>
  </si>
  <si>
    <t>Lydia Haigler</t>
  </si>
  <si>
    <t>Michael Szatkowski</t>
  </si>
  <si>
    <t>Valentina Pease</t>
  </si>
  <si>
    <t>Javier Garfinkel</t>
  </si>
  <si>
    <t>Taylor Kanagy</t>
  </si>
  <si>
    <t>Jax Coviello</t>
  </si>
  <si>
    <t>Natalia Goodrow</t>
  </si>
  <si>
    <t>Emmanuel Kerber</t>
  </si>
  <si>
    <t>Angela Shuster</t>
  </si>
  <si>
    <t>Wesley Jurek</t>
  </si>
  <si>
    <t>Alexandra Handel</t>
  </si>
  <si>
    <t>Jase Fresquez</t>
  </si>
  <si>
    <t>Taylor Walt</t>
  </si>
  <si>
    <t>Xander Mease</t>
  </si>
  <si>
    <t>Madison Chalmers</t>
  </si>
  <si>
    <t>Valerie Sheth</t>
  </si>
  <si>
    <t>Maxwell Diiorio</t>
  </si>
  <si>
    <t>Parker Harrah</t>
  </si>
  <si>
    <t>Isabelle Moll</t>
  </si>
  <si>
    <t>Matthew Rodda</t>
  </si>
  <si>
    <t>Brooke Saucedo</t>
  </si>
  <si>
    <t>Luca Woodell</t>
  </si>
  <si>
    <t>Alexandra Crabb</t>
  </si>
  <si>
    <t>Zion Quaintance</t>
  </si>
  <si>
    <t>Alyssa Glover</t>
  </si>
  <si>
    <t>Bentley Nason</t>
  </si>
  <si>
    <t>Maya Sisk</t>
  </si>
  <si>
    <t>Jayden Giambrone</t>
  </si>
  <si>
    <t>Michelle Mccarroll</t>
  </si>
  <si>
    <t>Jackson Oates</t>
  </si>
  <si>
    <t>Alfredo Lazo</t>
  </si>
  <si>
    <t>Wyatt Yates</t>
  </si>
  <si>
    <t>Quinten Brown</t>
  </si>
  <si>
    <t>Paul Ebeyer</t>
  </si>
  <si>
    <t>Brad Burnham</t>
  </si>
  <si>
    <t>Kho Do</t>
  </si>
  <si>
    <t>Don Powell</t>
  </si>
  <si>
    <t>Mike Wills</t>
  </si>
  <si>
    <t>Todd Frison</t>
  </si>
  <si>
    <t>Lenor Eprem</t>
  </si>
  <si>
    <t>David Stinson</t>
  </si>
  <si>
    <t>Aaron Pendroza</t>
  </si>
  <si>
    <t>Steve Rotanda</t>
  </si>
  <si>
    <t>Russell Oliynkk</t>
  </si>
  <si>
    <t>Luis Chessani</t>
  </si>
  <si>
    <t>Keith Willis</t>
  </si>
  <si>
    <t>Nick Hourihan</t>
  </si>
  <si>
    <t>Nader Djomehri</t>
  </si>
  <si>
    <t>Jerry Villagrana</t>
  </si>
  <si>
    <t>Fatme Tallis</t>
  </si>
  <si>
    <t>Richard Beile</t>
  </si>
  <si>
    <t>Tess Smart</t>
  </si>
  <si>
    <t>Javed Ahmadzai</t>
  </si>
  <si>
    <t>Terry Erdei</t>
  </si>
  <si>
    <t>Yahaira Caballero Herrera</t>
  </si>
  <si>
    <t>Bridgid Osullivan</t>
  </si>
  <si>
    <t>Jordon Swenson</t>
  </si>
  <si>
    <t>Sam Dorsey</t>
  </si>
  <si>
    <t>Aaron Armstrong</t>
  </si>
  <si>
    <t>Hebert Ramos</t>
  </si>
  <si>
    <t>Cameron Morton</t>
  </si>
  <si>
    <t>Tyler Bennett</t>
  </si>
  <si>
    <t>Isaac Aguirre</t>
  </si>
  <si>
    <t>Richard Mitts</t>
  </si>
  <si>
    <t>Ben Kazanjian</t>
  </si>
  <si>
    <t>Oscar Sanchez</t>
  </si>
  <si>
    <t>Xaiver Canedos</t>
  </si>
  <si>
    <t>Brian Hernandez</t>
  </si>
  <si>
    <t>Celeste Lemus</t>
  </si>
  <si>
    <t>Morgan Gutierrez</t>
  </si>
  <si>
    <t>Dylan Kaplan</t>
  </si>
  <si>
    <t>Diego Perez</t>
  </si>
  <si>
    <t>Yueyang Zhou</t>
  </si>
  <si>
    <t>Brandon Schulze</t>
  </si>
  <si>
    <t>Jocelyn Torres</t>
  </si>
  <si>
    <t>Carlos Arias</t>
  </si>
  <si>
    <t>Ray Sun</t>
  </si>
  <si>
    <t>Bernard Gallo</t>
  </si>
  <si>
    <t>Mariana Pereira</t>
  </si>
  <si>
    <t>Jadon Nicol</t>
  </si>
  <si>
    <t>Jazper Jacob</t>
  </si>
  <si>
    <t>Nicolete Paiva</t>
  </si>
  <si>
    <t>Mike Palmer</t>
  </si>
  <si>
    <t>Chris Seaman</t>
  </si>
  <si>
    <t>Troy Johnson</t>
  </si>
  <si>
    <t>Nestor Parra Rodriguez</t>
  </si>
  <si>
    <t>Alexandra Hernandez</t>
  </si>
  <si>
    <t>Buddy Hadley</t>
  </si>
  <si>
    <t>Thomas Murphy</t>
  </si>
  <si>
    <t>Damon Whitmer</t>
  </si>
  <si>
    <t>Emely Duran</t>
  </si>
  <si>
    <t>Johnny Choe</t>
  </si>
  <si>
    <t>Ryan Rico</t>
  </si>
  <si>
    <t>Q3</t>
  </si>
  <si>
    <t>Moises Hernandez</t>
  </si>
  <si>
    <t>Nicholas Kelley</t>
  </si>
  <si>
    <t>Kurt Viken</t>
  </si>
  <si>
    <t>Khoi Do</t>
  </si>
  <si>
    <t>Jake Wakamatsu</t>
  </si>
  <si>
    <t>Joe Pignatello</t>
  </si>
  <si>
    <t>Jesse Sherman</t>
  </si>
  <si>
    <t>Drew Besenfelder</t>
  </si>
  <si>
    <t>Stephanie McMurray</t>
  </si>
  <si>
    <t>Alan Birch</t>
  </si>
  <si>
    <t>David Mase</t>
  </si>
  <si>
    <t>Ron Smith</t>
  </si>
  <si>
    <t>Kim Heren</t>
  </si>
  <si>
    <t>Marcos Paul</t>
  </si>
  <si>
    <t>Zabih Rahim</t>
  </si>
  <si>
    <t>Jesse Perez</t>
  </si>
  <si>
    <t>Petra Garcia</t>
  </si>
  <si>
    <t>Jonathan Kha</t>
  </si>
  <si>
    <t>Jim Leavitt</t>
  </si>
  <si>
    <t>James Shin</t>
  </si>
  <si>
    <t>Yahaira Herrera</t>
  </si>
  <si>
    <t>Anthony Canche</t>
  </si>
  <si>
    <t>Gor Mirzakhanyan</t>
  </si>
  <si>
    <t>Raffi Injian</t>
  </si>
  <si>
    <t>Amanda Lueras</t>
  </si>
  <si>
    <t>Christian Banks</t>
  </si>
  <si>
    <t>Kevin Kurz</t>
  </si>
  <si>
    <t>Melissa Duarte</t>
  </si>
  <si>
    <t>Cris Baker</t>
  </si>
  <si>
    <t>Ricardo Moran</t>
  </si>
  <si>
    <t>Joe Chen</t>
  </si>
  <si>
    <t>Vinit Gupta</t>
  </si>
  <si>
    <t>Tony Vazquez</t>
  </si>
  <si>
    <t>Joanna Zoreque</t>
  </si>
  <si>
    <t>Craig Milton</t>
  </si>
  <si>
    <t>Michael Thomas</t>
  </si>
  <si>
    <t>Michelle De Bella</t>
  </si>
  <si>
    <t>Deborah McNeilly</t>
  </si>
  <si>
    <t>Eric Truong</t>
  </si>
  <si>
    <t>Hyundai of Leander</t>
  </si>
  <si>
    <t>Cory Frick</t>
  </si>
  <si>
    <t>Pablo Garcia</t>
  </si>
  <si>
    <t>Harrell Hodges</t>
  </si>
  <si>
    <t>Matthew McInnis</t>
  </si>
  <si>
    <t>Branda Centeno</t>
  </si>
  <si>
    <t>Ali Mallah</t>
  </si>
  <si>
    <t>Marco Cruz</t>
  </si>
  <si>
    <t>Giovanny Morales</t>
  </si>
  <si>
    <t>Steven Kojack</t>
  </si>
  <si>
    <t>Herbert Ramos</t>
  </si>
  <si>
    <t>Quinn Hall</t>
  </si>
  <si>
    <t>Zoee Madril</t>
  </si>
  <si>
    <t>Rodney Vincent</t>
  </si>
  <si>
    <t>Jeff Decious</t>
  </si>
  <si>
    <t>Bobby Ripberger</t>
  </si>
  <si>
    <t>John Cooper</t>
  </si>
  <si>
    <t>Matt Goudarzi</t>
  </si>
  <si>
    <t>Juel Clarke</t>
  </si>
  <si>
    <t>Christopher Johnson</t>
  </si>
  <si>
    <t>Aaron Pedroza</t>
  </si>
  <si>
    <t>Tukk Hysi</t>
  </si>
  <si>
    <t>Demian Kirschner</t>
  </si>
  <si>
    <t>Carl Peart</t>
  </si>
  <si>
    <t>Brianna Stringi</t>
  </si>
  <si>
    <t>Kanoa Perez- Santiago</t>
  </si>
  <si>
    <t>Salvador Velazquez</t>
  </si>
  <si>
    <t>Lam Le</t>
  </si>
  <si>
    <t>Birendra Kiran</t>
  </si>
  <si>
    <t>Arsen Ashugyan</t>
  </si>
  <si>
    <t>Gloria Avila</t>
  </si>
  <si>
    <t>Frank Pellerin</t>
  </si>
  <si>
    <t>Vanessa Sanchez</t>
  </si>
  <si>
    <t>Al Navarrete</t>
  </si>
  <si>
    <t>Christopher Hodges</t>
  </si>
  <si>
    <t>Ryan Fanant</t>
  </si>
  <si>
    <t>Dan Brummett</t>
  </si>
  <si>
    <t>Tony Vasquez</t>
  </si>
  <si>
    <t>David Yergeau</t>
  </si>
  <si>
    <t>Bernadette Yousif</t>
  </si>
  <si>
    <t>Victor Solis</t>
  </si>
  <si>
    <t>Kari Law</t>
  </si>
  <si>
    <t>Marcus Lee</t>
  </si>
  <si>
    <t>Jesse Briones</t>
  </si>
  <si>
    <t>Norman Bereiji</t>
  </si>
  <si>
    <t>Joseph Fasula</t>
  </si>
  <si>
    <t>Melanie Welch</t>
  </si>
  <si>
    <t>Colby Newton</t>
  </si>
  <si>
    <t>Rick Tankersley</t>
  </si>
  <si>
    <t>Mikayla Calhoun</t>
  </si>
  <si>
    <t>Tess Briney</t>
  </si>
  <si>
    <t>Jonathan Mendoza</t>
  </si>
  <si>
    <t>Isaiah Kissane</t>
  </si>
  <si>
    <t>Tarkus Zonen</t>
  </si>
  <si>
    <t>Song Park</t>
  </si>
  <si>
    <t>Donnie Jones</t>
  </si>
  <si>
    <t>Q4</t>
  </si>
  <si>
    <t>Dak Mabone</t>
  </si>
  <si>
    <t>Gary Buffington</t>
  </si>
  <si>
    <t>Ian Scott</t>
  </si>
  <si>
    <t>Ryan Kearns</t>
  </si>
  <si>
    <t>Michael Dowl</t>
  </si>
  <si>
    <t>Sean Schwartz</t>
  </si>
  <si>
    <t>Pedro Ferrer</t>
  </si>
  <si>
    <t>Ken Schwagerman</t>
  </si>
  <si>
    <t>Juan Monroy</t>
  </si>
  <si>
    <t>Fernando Solorzano</t>
  </si>
  <si>
    <t>Inri Serrano</t>
  </si>
  <si>
    <t>Joel Smith</t>
  </si>
  <si>
    <t>RIchard Beile</t>
  </si>
  <si>
    <t>Max Gutierrez</t>
  </si>
  <si>
    <t>Boston Bolles</t>
  </si>
  <si>
    <t>Gabriel Saldana</t>
  </si>
  <si>
    <t>Chris Hodges</t>
  </si>
  <si>
    <t>Yuyang Zhou</t>
  </si>
  <si>
    <t>Drew Bachman</t>
  </si>
  <si>
    <t>Masieh Azim</t>
  </si>
  <si>
    <t>Arturo Cervantes</t>
  </si>
  <si>
    <t>Sheraz Sahibzada</t>
  </si>
  <si>
    <t>Justin Hunt</t>
  </si>
  <si>
    <t>Abbie Ramirez</t>
  </si>
  <si>
    <t>Brian Erikson</t>
  </si>
  <si>
    <t>Branden Mackie</t>
  </si>
  <si>
    <t>Sam Bakir</t>
  </si>
  <si>
    <t>Simon Park</t>
  </si>
  <si>
    <t>Andrew Gontaruk</t>
  </si>
  <si>
    <t>Jon Anson</t>
  </si>
  <si>
    <t>Lucas Duran</t>
  </si>
  <si>
    <t>Logan Estrem</t>
  </si>
  <si>
    <t>Beau Magnuson</t>
  </si>
  <si>
    <t>Brayden Sparks</t>
  </si>
  <si>
    <t>Roman Fessi</t>
  </si>
  <si>
    <t>Mike Johnson</t>
  </si>
  <si>
    <t>Jonathan Ouijano</t>
  </si>
  <si>
    <t>Jim Beebe</t>
  </si>
  <si>
    <t>Luiz Knabben</t>
  </si>
  <si>
    <t>Mark Siffert</t>
  </si>
  <si>
    <t>Petros Kompouras</t>
  </si>
  <si>
    <t>Bryan Wesley</t>
  </si>
  <si>
    <t>Thomas Sliker</t>
  </si>
  <si>
    <t>Long Le</t>
  </si>
  <si>
    <t>Adam Locke</t>
  </si>
  <si>
    <t>Frank Pallerin</t>
  </si>
  <si>
    <t>John Drake</t>
  </si>
  <si>
    <t>John Deyet</t>
  </si>
  <si>
    <t>Denis Gurel</t>
  </si>
  <si>
    <t>Nicolette Paiva</t>
  </si>
  <si>
    <t>Antonio Munez</t>
  </si>
  <si>
    <t>Barry Kramer</t>
  </si>
  <si>
    <t>Poli Gonzalez</t>
  </si>
  <si>
    <t>Skyler Scheffer</t>
  </si>
  <si>
    <t>Joe Fuentes</t>
  </si>
  <si>
    <t>Devin St Hill</t>
  </si>
  <si>
    <t>Brenda Centeno</t>
  </si>
  <si>
    <t>Cole Atkinson</t>
  </si>
  <si>
    <t>Brenden Gentz</t>
  </si>
  <si>
    <t>Shawn Simonet</t>
  </si>
  <si>
    <t>Mark Robinson</t>
  </si>
  <si>
    <t>Report Info</t>
  </si>
  <si>
    <t>Brand</t>
  </si>
  <si>
    <t>Disp</t>
  </si>
  <si>
    <t>M/B</t>
  </si>
  <si>
    <t>Lvl</t>
  </si>
  <si>
    <t>Count</t>
  </si>
  <si>
    <t>-PAG WEST</t>
  </si>
  <si>
    <t>PAG WEST</t>
  </si>
  <si>
    <t>-Arizona</t>
  </si>
  <si>
    <t>Audi</t>
  </si>
  <si>
    <t>-Indiana</t>
  </si>
  <si>
    <t>-Michigan &amp; Minnesota</t>
  </si>
  <si>
    <t>Jaguar Land Rover Chandler</t>
  </si>
  <si>
    <t>-Northern California</t>
  </si>
  <si>
    <t>Jaguar Land Rover North Scottsdale</t>
  </si>
  <si>
    <t>-Orange County</t>
  </si>
  <si>
    <t>-Southern California</t>
  </si>
  <si>
    <t>-Texas</t>
  </si>
  <si>
    <t>Ultra</t>
  </si>
  <si>
    <t>-Wisconsin</t>
  </si>
  <si>
    <t>Bill Brown Ford</t>
  </si>
  <si>
    <t>Ford</t>
  </si>
  <si>
    <t>BMW</t>
  </si>
  <si>
    <t>Chevrolet</t>
  </si>
  <si>
    <t>Genesis</t>
  </si>
  <si>
    <t>Honda</t>
  </si>
  <si>
    <t>Hyundai</t>
  </si>
  <si>
    <t>LR</t>
  </si>
  <si>
    <t>Lexus</t>
  </si>
  <si>
    <t>Lincoln</t>
  </si>
  <si>
    <t>MINI</t>
  </si>
  <si>
    <t>Mazda</t>
  </si>
  <si>
    <t>Toyota of Pharr</t>
  </si>
  <si>
    <t>Toyota</t>
  </si>
  <si>
    <t>Mercedes-Benz</t>
  </si>
  <si>
    <t>Porsche</t>
  </si>
  <si>
    <t>Subaru</t>
  </si>
  <si>
    <t>Volkswagen</t>
  </si>
  <si>
    <t>WEST_0</t>
  </si>
  <si>
    <t>WEST_1</t>
  </si>
  <si>
    <t>WEST_2</t>
  </si>
  <si>
    <t>WEST_3</t>
  </si>
  <si>
    <t>WEST_4</t>
  </si>
  <si>
    <t>WEST_5</t>
  </si>
  <si>
    <t>Force Rank for All Star Data</t>
  </si>
  <si>
    <t>Score</t>
  </si>
  <si>
    <t># Questions</t>
  </si>
  <si>
    <t>Alpha Rk</t>
  </si>
  <si>
    <t>Score Rk</t>
  </si>
  <si>
    <t>Raw Rk</t>
  </si>
  <si>
    <t>Final Rk</t>
  </si>
  <si>
    <t>Addressed Q's</t>
  </si>
  <si>
    <t>Response 30 or less</t>
  </si>
  <si>
    <t>Call Atmpt Day 1</t>
  </si>
  <si>
    <t>Text Atmpt Day 1</t>
  </si>
  <si>
    <t>Apmt Attempt</t>
  </si>
  <si>
    <t>Video?</t>
  </si>
  <si>
    <t>Grammar/Sp</t>
  </si>
  <si>
    <t>Trade Q's</t>
  </si>
  <si>
    <t>F/U &gt;/= 7 Days</t>
  </si>
  <si>
    <t>Mngr Involvement</t>
  </si>
  <si>
    <t>Shop One: AJ Lopez amandajoy0303@gmail.com</t>
  </si>
  <si>
    <t>Shop 1 Customer:</t>
  </si>
  <si>
    <t>Shop 2 Customer:</t>
  </si>
  <si>
    <t>Jordan Avery - jojoavery838@gmail.com</t>
  </si>
  <si>
    <t>AJ Lopez - amandajoy0303@gmail.com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</si>
</sst>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10409]#,##0;\(#,##0\)"/>
    <numFmt numFmtId="165" formatCode="mmmm\ \'yy"/>
  </numFmts>
  <fonts count="4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Arial"/>
      <family val="1"/>
    </font>
    <font>
      <sz val="12"/>
      <color rgb="FFFF0000"/>
      <name val="Arial"/>
      <family val="1"/>
    </font>
    <font>
      <sz val="12"/>
      <name val="Arial"/>
      <family val="1"/>
    </font>
    <font>
      <b/>
      <i/>
      <u/>
      <sz val="11"/>
      <color theme="1"/>
      <name val="Calibri"/>
      <family val="2"/>
    </font>
    <font>
      <sz val="11"/>
      <color theme="1"/>
      <name val="Calibri"/>
      <family val="1"/>
    </font>
    <font>
      <sz val="11"/>
      <name val="Calibri"/>
      <family val="2"/>
    </font>
    <font>
      <b/>
      <i/>
      <u/>
      <sz val="10"/>
      <color theme="1"/>
      <name val="Arial"/>
      <family val="1"/>
    </font>
    <font>
      <b/>
      <sz val="25"/>
      <name val="Optima Regular"/>
    </font>
    <font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Arial"/>
      <family val="2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u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24"/>
      <color theme="1"/>
      <name val="Arial"/>
      <family val="2"/>
    </font>
    <font>
      <sz val="18"/>
      <name val="Arial"/>
      <family val="2"/>
    </font>
    <font>
      <sz val="12"/>
      <color theme="0"/>
      <name val="Arial"/>
      <family val="2"/>
    </font>
    <font>
      <sz val="14"/>
      <color theme="0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sz val="12"/>
      <name val="Arial"/>
      <family val="2"/>
    </font>
    <font>
      <i/>
      <sz val="12"/>
      <color theme="1"/>
      <name val="Arial"/>
      <family val="2"/>
    </font>
    <font>
      <sz val="20"/>
      <name val="Arial"/>
      <family val="2"/>
    </font>
    <font>
      <b/>
      <sz val="16"/>
      <color theme="1"/>
      <name val="Segoe UI Symbol"/>
      <family val="2"/>
    </font>
    <font>
      <b/>
      <sz val="20"/>
      <color theme="1"/>
      <name val="Segoe UI Symbol"/>
      <family val="2"/>
    </font>
    <font>
      <sz val="13"/>
      <color theme="1"/>
      <name val="Arial"/>
      <family val="2"/>
    </font>
    <font>
      <sz val="15"/>
      <color theme="1"/>
      <name val="Arial"/>
      <family val="2"/>
    </font>
    <font>
      <b/>
      <i/>
      <u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E7F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 style="thin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thin">
        <color theme="1" tint="0.24994659260841701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/>
      <top style="medium">
        <color theme="1" tint="0.24994659260841701"/>
      </top>
      <bottom style="medium">
        <color theme="1" tint="0.2499465926084170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theme="1" tint="0.24994659260841701"/>
      </left>
      <right style="thin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theme="1" tint="0.2499465926084170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237">
    <xf numFmtId="0" fontId="0" fillId="0" borderId="0" xfId="0"/>
    <xf numFmtId="17" fontId="2" fillId="2" borderId="0" xfId="0" quotePrefix="1" applyNumberFormat="1" applyFont="1" applyFill="1"/>
    <xf numFmtId="1" fontId="2" fillId="2" borderId="0" xfId="0" quotePrefix="1" applyNumberFormat="1" applyFont="1" applyFill="1"/>
    <xf numFmtId="17" fontId="3" fillId="2" borderId="0" xfId="0" quotePrefix="1" applyNumberFormat="1" applyFont="1" applyFill="1"/>
    <xf numFmtId="17" fontId="4" fillId="2" borderId="0" xfId="0" quotePrefix="1" applyNumberFormat="1" applyFont="1" applyFill="1"/>
    <xf numFmtId="0" fontId="5" fillId="2" borderId="0" xfId="0" applyFont="1" applyFill="1" applyAlignment="1">
      <alignment horizontal="left"/>
    </xf>
    <xf numFmtId="0" fontId="6" fillId="2" borderId="0" xfId="0" applyFont="1" applyFill="1"/>
    <xf numFmtId="0" fontId="7" fillId="2" borderId="0" xfId="0" applyFont="1" applyFill="1"/>
    <xf numFmtId="0" fontId="7" fillId="0" borderId="0" xfId="0" applyFont="1"/>
    <xf numFmtId="165" fontId="6" fillId="2" borderId="0" xfId="0" applyNumberFormat="1" applyFont="1" applyFill="1" applyAlignment="1">
      <alignment horizontal="left"/>
    </xf>
    <xf numFmtId="164" fontId="8" fillId="2" borderId="0" xfId="0" applyNumberFormat="1" applyFont="1" applyFill="1" applyAlignment="1">
      <alignment vertical="top" wrapText="1"/>
    </xf>
    <xf numFmtId="164" fontId="8" fillId="2" borderId="0" xfId="0" applyNumberFormat="1" applyFont="1" applyFill="1" applyAlignment="1">
      <alignment horizontal="left" vertical="top" wrapText="1"/>
    </xf>
    <xf numFmtId="0" fontId="6" fillId="2" borderId="0" xfId="0" quotePrefix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1" fontId="6" fillId="2" borderId="0" xfId="0" applyNumberFormat="1" applyFont="1" applyFill="1"/>
    <xf numFmtId="1" fontId="6" fillId="2" borderId="0" xfId="0" applyNumberFormat="1" applyFont="1" applyFill="1" applyAlignment="1">
      <alignment horizontal="left"/>
    </xf>
    <xf numFmtId="1" fontId="7" fillId="2" borderId="0" xfId="0" applyNumberFormat="1" applyFont="1" applyFill="1"/>
    <xf numFmtId="1" fontId="7" fillId="0" borderId="0" xfId="0" applyNumberFormat="1" applyFont="1"/>
    <xf numFmtId="0" fontId="0" fillId="2" borderId="0" xfId="0" applyFill="1"/>
    <xf numFmtId="17" fontId="0" fillId="0" borderId="0" xfId="0" applyNumberFormat="1"/>
    <xf numFmtId="0" fontId="0" fillId="0" borderId="2" xfId="0" applyBorder="1"/>
    <xf numFmtId="17" fontId="6" fillId="2" borderId="0" xfId="0" applyNumberFormat="1" applyFont="1" applyFill="1" applyAlignment="1">
      <alignment horizontal="left"/>
    </xf>
    <xf numFmtId="0" fontId="10" fillId="2" borderId="0" xfId="0" applyFont="1" applyFill="1"/>
    <xf numFmtId="0" fontId="10" fillId="0" borderId="0" xfId="0" applyFont="1"/>
    <xf numFmtId="0" fontId="0" fillId="0" borderId="0" xfId="0" applyAlignment="1">
      <alignment horizontal="center"/>
    </xf>
    <xf numFmtId="0" fontId="7" fillId="2" borderId="0" xfId="0" quotePrefix="1" applyFont="1" applyFill="1" applyAlignment="1">
      <alignment horizontal="left"/>
    </xf>
    <xf numFmtId="1" fontId="0" fillId="0" borderId="0" xfId="1" applyNumberFormat="1" applyFont="1" applyAlignment="1">
      <alignment horizontal="center"/>
    </xf>
    <xf numFmtId="164" fontId="6" fillId="2" borderId="0" xfId="0" applyNumberFormat="1" applyFont="1" applyFill="1"/>
    <xf numFmtId="0" fontId="0" fillId="5" borderId="0" xfId="0" applyFill="1"/>
    <xf numFmtId="1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17" fontId="0" fillId="0" borderId="0" xfId="0" applyNumberFormat="1" applyAlignment="1">
      <alignment horizontal="center"/>
    </xf>
    <xf numFmtId="0" fontId="0" fillId="5" borderId="0" xfId="0" applyFill="1" applyAlignment="1">
      <alignment horizontal="center"/>
    </xf>
    <xf numFmtId="1" fontId="0" fillId="5" borderId="0" xfId="0" applyNumberFormat="1" applyFill="1" applyAlignment="1">
      <alignment horizontal="center"/>
    </xf>
    <xf numFmtId="0" fontId="13" fillId="2" borderId="0" xfId="2" applyFont="1" applyFill="1"/>
    <xf numFmtId="0" fontId="14" fillId="2" borderId="0" xfId="2" applyFont="1" applyFill="1"/>
    <xf numFmtId="0" fontId="15" fillId="2" borderId="0" xfId="2" applyFont="1" applyFill="1"/>
    <xf numFmtId="0" fontId="16" fillId="2" borderId="0" xfId="2" applyFont="1" applyFill="1"/>
    <xf numFmtId="1" fontId="15" fillId="2" borderId="0" xfId="2" applyNumberFormat="1" applyFont="1" applyFill="1"/>
    <xf numFmtId="0" fontId="17" fillId="2" borderId="0" xfId="2" applyFont="1" applyFill="1"/>
    <xf numFmtId="0" fontId="18" fillId="2" borderId="0" xfId="2" applyFont="1" applyFill="1"/>
    <xf numFmtId="0" fontId="20" fillId="2" borderId="0" xfId="2" applyFont="1" applyFill="1" applyAlignment="1">
      <alignment vertical="center"/>
    </xf>
    <xf numFmtId="0" fontId="18" fillId="2" borderId="0" xfId="2" applyFont="1" applyFill="1" applyAlignment="1">
      <alignment vertical="center"/>
    </xf>
    <xf numFmtId="0" fontId="18" fillId="2" borderId="0" xfId="2" applyFont="1" applyFill="1" applyAlignment="1">
      <alignment horizontal="center" vertical="center"/>
    </xf>
    <xf numFmtId="0" fontId="13" fillId="2" borderId="0" xfId="2" applyFont="1" applyFill="1" applyAlignment="1">
      <alignment vertical="center"/>
    </xf>
    <xf numFmtId="0" fontId="13" fillId="2" borderId="0" xfId="2" applyFont="1" applyFill="1" applyAlignment="1">
      <alignment horizontal="center" vertical="center"/>
    </xf>
    <xf numFmtId="0" fontId="15" fillId="2" borderId="0" xfId="2" applyFont="1" applyFill="1" applyAlignment="1">
      <alignment vertical="center"/>
    </xf>
    <xf numFmtId="0" fontId="15" fillId="4" borderId="0" xfId="2" applyFont="1" applyFill="1"/>
    <xf numFmtId="0" fontId="15" fillId="2" borderId="0" xfId="2" applyFont="1" applyFill="1" applyAlignment="1">
      <alignment horizontal="center"/>
    </xf>
    <xf numFmtId="1" fontId="15" fillId="2" borderId="0" xfId="2" applyNumberFormat="1" applyFont="1" applyFill="1" applyAlignment="1">
      <alignment horizontal="center"/>
    </xf>
    <xf numFmtId="0" fontId="15" fillId="2" borderId="0" xfId="2" applyFont="1" applyFill="1" applyAlignment="1">
      <alignment horizontal="center" wrapText="1"/>
    </xf>
    <xf numFmtId="0" fontId="20" fillId="2" borderId="0" xfId="2" applyFont="1" applyFill="1"/>
    <xf numFmtId="0" fontId="14" fillId="2" borderId="0" xfId="2" applyFont="1" applyFill="1" applyAlignment="1">
      <alignment vertical="center" wrapText="1"/>
    </xf>
    <xf numFmtId="0" fontId="21" fillId="2" borderId="2" xfId="2" applyFont="1" applyFill="1" applyBorder="1" applyAlignment="1">
      <alignment wrapText="1"/>
    </xf>
    <xf numFmtId="0" fontId="19" fillId="2" borderId="0" xfId="2" applyFont="1" applyFill="1" applyAlignment="1">
      <alignment vertical="center"/>
    </xf>
    <xf numFmtId="0" fontId="21" fillId="2" borderId="9" xfId="2" applyFont="1" applyFill="1" applyBorder="1" applyAlignment="1">
      <alignment horizontal="center"/>
    </xf>
    <xf numFmtId="0" fontId="24" fillId="2" borderId="0" xfId="2" applyFont="1" applyFill="1"/>
    <xf numFmtId="0" fontId="25" fillId="2" borderId="0" xfId="2" applyFont="1" applyFill="1"/>
    <xf numFmtId="9" fontId="15" fillId="2" borderId="0" xfId="1" applyFont="1" applyFill="1" applyAlignment="1">
      <alignment horizontal="center"/>
    </xf>
    <xf numFmtId="0" fontId="20" fillId="2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9" fontId="20" fillId="2" borderId="0" xfId="1" quotePrefix="1" applyFont="1" applyFill="1" applyAlignment="1">
      <alignment horizontal="center"/>
    </xf>
    <xf numFmtId="1" fontId="15" fillId="2" borderId="0" xfId="1" applyNumberFormat="1" applyFont="1" applyFill="1" applyAlignment="1">
      <alignment horizontal="center"/>
    </xf>
    <xf numFmtId="1" fontId="20" fillId="2" borderId="0" xfId="1" quotePrefix="1" applyNumberFormat="1" applyFont="1" applyFill="1" applyAlignment="1">
      <alignment horizontal="center"/>
    </xf>
    <xf numFmtId="9" fontId="22" fillId="2" borderId="7" xfId="1" applyFont="1" applyFill="1" applyBorder="1" applyAlignment="1">
      <alignment horizontal="center" vertical="center"/>
    </xf>
    <xf numFmtId="14" fontId="6" fillId="2" borderId="0" xfId="0" applyNumberFormat="1" applyFont="1" applyFill="1" applyAlignment="1">
      <alignment horizontal="left"/>
    </xf>
    <xf numFmtId="17" fontId="15" fillId="2" borderId="0" xfId="2" applyNumberFormat="1" applyFont="1" applyFill="1"/>
    <xf numFmtId="0" fontId="27" fillId="2" borderId="0" xfId="2" applyFont="1" applyFill="1"/>
    <xf numFmtId="0" fontId="28" fillId="2" borderId="0" xfId="2" applyFont="1" applyFill="1" applyAlignment="1">
      <alignment vertical="center"/>
    </xf>
    <xf numFmtId="0" fontId="27" fillId="2" borderId="0" xfId="2" applyFont="1" applyFill="1" applyAlignment="1">
      <alignment vertical="center"/>
    </xf>
    <xf numFmtId="0" fontId="28" fillId="2" borderId="0" xfId="2" applyFont="1" applyFill="1"/>
    <xf numFmtId="0" fontId="29" fillId="2" borderId="0" xfId="2" applyFont="1" applyFill="1" applyAlignment="1">
      <alignment horizontal="right"/>
    </xf>
    <xf numFmtId="0" fontId="15" fillId="2" borderId="0" xfId="2" applyFont="1" applyFill="1" applyAlignment="1">
      <alignment horizontal="left"/>
    </xf>
    <xf numFmtId="0" fontId="30" fillId="2" borderId="0" xfId="2" applyFont="1" applyFill="1"/>
    <xf numFmtId="0" fontId="31" fillId="2" borderId="0" xfId="2" applyFont="1" applyFill="1" applyAlignment="1">
      <alignment horizontal="right"/>
    </xf>
    <xf numFmtId="0" fontId="23" fillId="2" borderId="14" xfId="2" applyFont="1" applyFill="1" applyBorder="1" applyAlignment="1">
      <alignment horizontal="center" vertical="center" textRotation="140" wrapText="1"/>
    </xf>
    <xf numFmtId="0" fontId="21" fillId="2" borderId="8" xfId="2" applyFont="1" applyFill="1" applyBorder="1" applyAlignment="1">
      <alignment horizontal="center" vertical="center" textRotation="140" wrapText="1"/>
    </xf>
    <xf numFmtId="0" fontId="21" fillId="2" borderId="0" xfId="2" applyFont="1" applyFill="1" applyAlignment="1">
      <alignment wrapText="1"/>
    </xf>
    <xf numFmtId="0" fontId="21" fillId="2" borderId="16" xfId="2" applyFont="1" applyFill="1" applyBorder="1" applyAlignment="1">
      <alignment horizontal="center"/>
    </xf>
    <xf numFmtId="0" fontId="23" fillId="2" borderId="18" xfId="2" applyFont="1" applyFill="1" applyBorder="1" applyAlignment="1">
      <alignment horizontal="center" vertical="center" textRotation="140" wrapText="1"/>
    </xf>
    <xf numFmtId="0" fontId="21" fillId="2" borderId="18" xfId="2" applyFont="1" applyFill="1" applyBorder="1" applyAlignment="1">
      <alignment horizontal="center"/>
    </xf>
    <xf numFmtId="9" fontId="23" fillId="2" borderId="18" xfId="1" applyFont="1" applyFill="1" applyBorder="1" applyAlignment="1">
      <alignment horizontal="center" vertical="center"/>
    </xf>
    <xf numFmtId="9" fontId="22" fillId="2" borderId="18" xfId="1" applyFont="1" applyFill="1" applyBorder="1" applyAlignment="1">
      <alignment horizontal="center" vertical="center"/>
    </xf>
    <xf numFmtId="9" fontId="22" fillId="2" borderId="19" xfId="1" applyFont="1" applyFill="1" applyBorder="1" applyAlignment="1">
      <alignment horizontal="center" vertical="center"/>
    </xf>
    <xf numFmtId="9" fontId="22" fillId="2" borderId="15" xfId="1" applyFont="1" applyFill="1" applyBorder="1" applyAlignment="1">
      <alignment horizontal="center" vertical="center"/>
    </xf>
    <xf numFmtId="0" fontId="22" fillId="2" borderId="0" xfId="2" applyFont="1" applyFill="1" applyAlignment="1">
      <alignment wrapText="1"/>
    </xf>
    <xf numFmtId="0" fontId="9" fillId="2" borderId="0" xfId="0" applyFont="1" applyFill="1" applyAlignment="1">
      <alignment vertical="center"/>
    </xf>
    <xf numFmtId="9" fontId="23" fillId="2" borderId="0" xfId="1" applyFont="1" applyFill="1" applyBorder="1" applyAlignment="1">
      <alignment horizontal="center" vertical="center"/>
    </xf>
    <xf numFmtId="0" fontId="13" fillId="2" borderId="0" xfId="0" applyFont="1" applyFill="1"/>
    <xf numFmtId="0" fontId="22" fillId="2" borderId="0" xfId="0" quotePrefix="1" applyFont="1" applyFill="1" applyAlignment="1">
      <alignment vertical="center"/>
    </xf>
    <xf numFmtId="0" fontId="22" fillId="2" borderId="0" xfId="0" applyFont="1" applyFill="1" applyAlignment="1">
      <alignment horizontal="center" vertical="center"/>
    </xf>
    <xf numFmtId="0" fontId="27" fillId="2" borderId="0" xfId="0" applyFont="1" applyFill="1"/>
    <xf numFmtId="0" fontId="13" fillId="0" borderId="0" xfId="0" applyFont="1"/>
    <xf numFmtId="0" fontId="32" fillId="2" borderId="0" xfId="0" applyFont="1" applyFill="1"/>
    <xf numFmtId="0" fontId="33" fillId="2" borderId="0" xfId="0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/>
    <xf numFmtId="0" fontId="32" fillId="0" borderId="0" xfId="0" applyFont="1"/>
    <xf numFmtId="0" fontId="34" fillId="2" borderId="0" xfId="2" applyFont="1" applyFill="1"/>
    <xf numFmtId="0" fontId="22" fillId="2" borderId="0" xfId="2" applyFont="1" applyFill="1" applyAlignment="1">
      <alignment horizontal="left" vertical="center" wrapText="1"/>
    </xf>
    <xf numFmtId="9" fontId="22" fillId="2" borderId="0" xfId="1" applyFont="1" applyFill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1" fontId="0" fillId="0" borderId="0" xfId="1" applyNumberFormat="1" applyFont="1" applyAlignment="1">
      <alignment horizontal="left"/>
    </xf>
    <xf numFmtId="0" fontId="0" fillId="5" borderId="0" xfId="0" applyFill="1" applyAlignment="1">
      <alignment horizontal="left"/>
    </xf>
    <xf numFmtId="0" fontId="13" fillId="2" borderId="0" xfId="0" applyFont="1" applyFill="1" applyAlignment="1">
      <alignment horizontal="center" vertical="center"/>
    </xf>
    <xf numFmtId="9" fontId="18" fillId="2" borderId="0" xfId="1" applyFont="1" applyFill="1" applyAlignment="1">
      <alignment vertical="center"/>
    </xf>
    <xf numFmtId="9" fontId="18" fillId="2" borderId="0" xfId="1" applyFont="1" applyFill="1" applyAlignment="1">
      <alignment horizontal="center" vertical="center"/>
    </xf>
    <xf numFmtId="9" fontId="13" fillId="2" borderId="0" xfId="1" applyFont="1" applyFill="1" applyAlignment="1">
      <alignment horizontal="center" vertical="center"/>
    </xf>
    <xf numFmtId="0" fontId="37" fillId="2" borderId="33" xfId="0" applyFont="1" applyFill="1" applyBorder="1" applyAlignment="1">
      <alignment horizontal="center" vertical="center"/>
    </xf>
    <xf numFmtId="0" fontId="37" fillId="2" borderId="26" xfId="0" applyFont="1" applyFill="1" applyBorder="1" applyAlignment="1">
      <alignment horizontal="center" vertical="center"/>
    </xf>
    <xf numFmtId="9" fontId="15" fillId="2" borderId="0" xfId="2" applyNumberFormat="1" applyFont="1" applyFill="1"/>
    <xf numFmtId="0" fontId="17" fillId="2" borderId="8" xfId="2" applyFont="1" applyFill="1" applyBorder="1" applyAlignment="1">
      <alignment horizontal="center" vertical="center" textRotation="140" wrapText="1"/>
    </xf>
    <xf numFmtId="9" fontId="22" fillId="2" borderId="42" xfId="1" applyFont="1" applyFill="1" applyBorder="1" applyAlignment="1">
      <alignment horizontal="center" vertical="center"/>
    </xf>
    <xf numFmtId="9" fontId="21" fillId="2" borderId="12" xfId="1" applyFont="1" applyFill="1" applyBorder="1" applyAlignment="1">
      <alignment horizontal="center" vertical="center"/>
    </xf>
    <xf numFmtId="9" fontId="21" fillId="2" borderId="46" xfId="1" applyFont="1" applyFill="1" applyBorder="1" applyAlignment="1">
      <alignment horizontal="center" vertical="center"/>
    </xf>
    <xf numFmtId="9" fontId="18" fillId="2" borderId="35" xfId="1" applyFont="1" applyFill="1" applyBorder="1" applyAlignment="1">
      <alignment horizontal="center" vertical="center"/>
    </xf>
    <xf numFmtId="9" fontId="18" fillId="2" borderId="48" xfId="1" applyFont="1" applyFill="1" applyBorder="1" applyAlignment="1">
      <alignment horizontal="center" vertical="center"/>
    </xf>
    <xf numFmtId="9" fontId="17" fillId="2" borderId="47" xfId="1" applyFont="1" applyFill="1" applyBorder="1" applyAlignment="1">
      <alignment horizontal="center" vertical="center"/>
    </xf>
    <xf numFmtId="9" fontId="17" fillId="2" borderId="49" xfId="1" applyFont="1" applyFill="1" applyBorder="1" applyAlignment="1">
      <alignment horizontal="center" vertical="center"/>
    </xf>
    <xf numFmtId="0" fontId="23" fillId="2" borderId="0" xfId="2" applyFont="1" applyFill="1" applyAlignment="1">
      <alignment horizontal="center" vertical="center" textRotation="140" wrapText="1"/>
    </xf>
    <xf numFmtId="0" fontId="21" fillId="2" borderId="0" xfId="2" applyFont="1" applyFill="1" applyAlignment="1">
      <alignment horizontal="center"/>
    </xf>
    <xf numFmtId="9" fontId="39" fillId="2" borderId="50" xfId="1" applyFont="1" applyFill="1" applyBorder="1" applyAlignment="1">
      <alignment horizontal="center" vertical="center"/>
    </xf>
    <xf numFmtId="9" fontId="38" fillId="2" borderId="51" xfId="1" applyFont="1" applyFill="1" applyBorder="1" applyAlignment="1">
      <alignment horizontal="center" vertical="center"/>
    </xf>
    <xf numFmtId="9" fontId="38" fillId="2" borderId="49" xfId="1" applyFont="1" applyFill="1" applyBorder="1" applyAlignment="1">
      <alignment horizontal="center" vertical="center"/>
    </xf>
    <xf numFmtId="9" fontId="39" fillId="2" borderId="52" xfId="1" applyFont="1" applyFill="1" applyBorder="1" applyAlignment="1">
      <alignment horizontal="center" vertical="center"/>
    </xf>
    <xf numFmtId="9" fontId="22" fillId="2" borderId="53" xfId="1" applyFont="1" applyFill="1" applyBorder="1" applyAlignment="1">
      <alignment horizontal="center" vertical="center"/>
    </xf>
    <xf numFmtId="9" fontId="22" fillId="2" borderId="54" xfId="1" applyFont="1" applyFill="1" applyBorder="1" applyAlignment="1">
      <alignment horizontal="center" vertical="center"/>
    </xf>
    <xf numFmtId="0" fontId="18" fillId="2" borderId="16" xfId="2" applyFont="1" applyFill="1" applyBorder="1" applyAlignment="1">
      <alignment horizontal="center"/>
    </xf>
    <xf numFmtId="9" fontId="18" fillId="2" borderId="0" xfId="2" applyNumberFormat="1" applyFont="1" applyFill="1" applyAlignment="1">
      <alignment vertical="center"/>
    </xf>
    <xf numFmtId="9" fontId="18" fillId="2" borderId="0" xfId="2" applyNumberFormat="1" applyFont="1" applyFill="1"/>
    <xf numFmtId="9" fontId="13" fillId="2" borderId="0" xfId="2" applyNumberFormat="1" applyFont="1" applyFill="1"/>
    <xf numFmtId="0" fontId="13" fillId="2" borderId="18" xfId="2" applyFont="1" applyFill="1" applyBorder="1"/>
    <xf numFmtId="9" fontId="22" fillId="2" borderId="56" xfId="1" applyFont="1" applyFill="1" applyBorder="1" applyAlignment="1">
      <alignment horizontal="center" vertical="center"/>
    </xf>
    <xf numFmtId="9" fontId="22" fillId="2" borderId="57" xfId="1" applyFont="1" applyFill="1" applyBorder="1" applyAlignment="1">
      <alignment horizontal="center" vertical="center"/>
    </xf>
    <xf numFmtId="9" fontId="22" fillId="2" borderId="55" xfId="1" applyFont="1" applyFill="1" applyBorder="1" applyAlignment="1">
      <alignment horizontal="center" vertical="center"/>
    </xf>
    <xf numFmtId="9" fontId="22" fillId="2" borderId="58" xfId="1" applyFont="1" applyFill="1" applyBorder="1" applyAlignment="1">
      <alignment horizontal="center" vertical="center"/>
    </xf>
    <xf numFmtId="0" fontId="16" fillId="4" borderId="0" xfId="2" applyFont="1" applyFill="1"/>
    <xf numFmtId="0" fontId="16" fillId="4" borderId="0" xfId="2" applyFont="1" applyFill="1" applyAlignment="1">
      <alignment horizontal="center"/>
    </xf>
    <xf numFmtId="0" fontId="35" fillId="2" borderId="59" xfId="0" applyFont="1" applyFill="1" applyBorder="1" applyAlignment="1" applyProtection="1">
      <alignment vertical="center"/>
      <protection locked="0"/>
    </xf>
    <xf numFmtId="0" fontId="35" fillId="2" borderId="0" xfId="0" applyFont="1" applyFill="1" applyAlignment="1" applyProtection="1">
      <alignment vertical="center"/>
      <protection locked="0"/>
    </xf>
    <xf numFmtId="0" fontId="24" fillId="2" borderId="60" xfId="0" applyFont="1" applyFill="1" applyBorder="1" applyAlignment="1">
      <alignment horizontal="center" vertical="center"/>
    </xf>
    <xf numFmtId="0" fontId="24" fillId="2" borderId="61" xfId="0" applyFont="1" applyFill="1" applyBorder="1" applyAlignment="1">
      <alignment horizontal="center" vertical="center"/>
    </xf>
    <xf numFmtId="0" fontId="17" fillId="2" borderId="28" xfId="2" applyFont="1" applyFill="1" applyBorder="1" applyAlignment="1">
      <alignment horizontal="center" vertical="center" textRotation="140" wrapText="1"/>
    </xf>
    <xf numFmtId="0" fontId="21" fillId="2" borderId="62" xfId="2" applyFont="1" applyFill="1" applyBorder="1" applyAlignment="1">
      <alignment horizontal="center"/>
    </xf>
    <xf numFmtId="9" fontId="22" fillId="2" borderId="63" xfId="1" applyFont="1" applyFill="1" applyBorder="1" applyAlignment="1">
      <alignment horizontal="center" vertical="center"/>
    </xf>
    <xf numFmtId="9" fontId="22" fillId="2" borderId="64" xfId="1" applyFont="1" applyFill="1" applyBorder="1" applyAlignment="1">
      <alignment horizontal="center" vertical="center"/>
    </xf>
    <xf numFmtId="9" fontId="21" fillId="2" borderId="51" xfId="1" applyFont="1" applyFill="1" applyBorder="1" applyAlignment="1">
      <alignment horizontal="center" vertical="center"/>
    </xf>
    <xf numFmtId="9" fontId="21" fillId="2" borderId="49" xfId="1" applyFont="1" applyFill="1" applyBorder="1" applyAlignment="1">
      <alignment horizontal="center" vertical="center"/>
    </xf>
    <xf numFmtId="0" fontId="22" fillId="2" borderId="65" xfId="2" applyFont="1" applyFill="1" applyBorder="1" applyAlignment="1">
      <alignment horizontal="center" vertical="center" textRotation="140" wrapText="1"/>
    </xf>
    <xf numFmtId="0" fontId="21" fillId="2" borderId="66" xfId="2" applyFont="1" applyFill="1" applyBorder="1" applyAlignment="1">
      <alignment horizontal="center"/>
    </xf>
    <xf numFmtId="9" fontId="22" fillId="2" borderId="67" xfId="1" applyFont="1" applyFill="1" applyBorder="1" applyAlignment="1">
      <alignment horizontal="center" vertical="center"/>
    </xf>
    <xf numFmtId="9" fontId="22" fillId="2" borderId="68" xfId="1" applyFont="1" applyFill="1" applyBorder="1" applyAlignment="1">
      <alignment horizontal="center" vertical="center"/>
    </xf>
    <xf numFmtId="9" fontId="22" fillId="2" borderId="69" xfId="1" applyFont="1" applyFill="1" applyBorder="1" applyAlignment="1">
      <alignment horizontal="center" vertical="center"/>
    </xf>
    <xf numFmtId="9" fontId="21" fillId="2" borderId="70" xfId="1" applyFont="1" applyFill="1" applyBorder="1" applyAlignment="1">
      <alignment horizontal="center" vertical="center"/>
    </xf>
    <xf numFmtId="9" fontId="21" fillId="2" borderId="71" xfId="1" applyFont="1" applyFill="1" applyBorder="1" applyAlignment="1">
      <alignment horizontal="center" vertical="center"/>
    </xf>
    <xf numFmtId="1" fontId="6" fillId="2" borderId="0" xfId="0" quotePrefix="1" applyNumberFormat="1" applyFont="1" applyFill="1" applyAlignment="1" applyProtection="1">
      <alignment horizontal="left"/>
      <protection locked="0"/>
    </xf>
    <xf numFmtId="9" fontId="23" fillId="2" borderId="34" xfId="1" applyFont="1" applyFill="1" applyBorder="1" applyAlignment="1">
      <alignment horizontal="center" vertical="center"/>
    </xf>
    <xf numFmtId="9" fontId="23" fillId="2" borderId="8" xfId="1" applyFont="1" applyFill="1" applyBorder="1" applyAlignment="1">
      <alignment horizontal="center" vertical="center"/>
    </xf>
    <xf numFmtId="0" fontId="37" fillId="2" borderId="76" xfId="0" applyFont="1" applyFill="1" applyBorder="1" applyAlignment="1">
      <alignment horizontal="center" vertical="center"/>
    </xf>
    <xf numFmtId="0" fontId="37" fillId="2" borderId="30" xfId="0" applyFont="1" applyFill="1" applyBorder="1" applyAlignment="1">
      <alignment horizontal="center" vertical="center"/>
    </xf>
    <xf numFmtId="0" fontId="30" fillId="0" borderId="0" xfId="0" applyFont="1"/>
    <xf numFmtId="0" fontId="40" fillId="0" borderId="0" xfId="0" applyFont="1" applyAlignment="1">
      <alignment horizontal="left"/>
    </xf>
    <xf numFmtId="0" fontId="15" fillId="0" borderId="0" xfId="0" applyFont="1"/>
    <xf numFmtId="0" fontId="30" fillId="0" borderId="0" xfId="0" applyFont="1" applyAlignment="1">
      <alignment horizontal="center"/>
    </xf>
    <xf numFmtId="17" fontId="15" fillId="0" borderId="0" xfId="0" applyNumberFormat="1" applyFont="1" applyAlignment="1">
      <alignment horizontal="left"/>
    </xf>
    <xf numFmtId="1" fontId="15" fillId="0" borderId="0" xfId="0" quotePrefix="1" applyNumberFormat="1" applyFont="1" applyAlignment="1" applyProtection="1">
      <alignment horizontal="left"/>
      <protection locked="0"/>
    </xf>
    <xf numFmtId="165" fontId="15" fillId="0" borderId="0" xfId="0" applyNumberFormat="1" applyFont="1" applyAlignment="1">
      <alignment horizontal="left"/>
    </xf>
    <xf numFmtId="0" fontId="20" fillId="0" borderId="2" xfId="0" applyFont="1" applyBorder="1"/>
    <xf numFmtId="0" fontId="20" fillId="0" borderId="2" xfId="0" applyFont="1" applyBorder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9" fontId="13" fillId="0" borderId="0" xfId="1" applyFont="1" applyFill="1" applyAlignment="1">
      <alignment horizontal="center"/>
    </xf>
    <xf numFmtId="1" fontId="13" fillId="0" borderId="0" xfId="0" applyNumberFormat="1" applyFont="1" applyAlignment="1">
      <alignment horizontal="center"/>
    </xf>
    <xf numFmtId="0" fontId="17" fillId="0" borderId="0" xfId="0" applyFont="1" applyAlignment="1">
      <alignment vertical="center"/>
    </xf>
    <xf numFmtId="17" fontId="0" fillId="7" borderId="0" xfId="0" applyNumberFormat="1" applyFill="1"/>
    <xf numFmtId="1" fontId="1" fillId="0" borderId="0" xfId="1" applyNumberFormat="1" applyFont="1" applyAlignment="1">
      <alignment horizontal="left"/>
    </xf>
    <xf numFmtId="0" fontId="1" fillId="0" borderId="0" xfId="0" applyFont="1"/>
    <xf numFmtId="1" fontId="0" fillId="0" borderId="0" xfId="1" applyNumberFormat="1" applyFont="1" applyFill="1" applyAlignment="1">
      <alignment horizontal="left"/>
    </xf>
    <xf numFmtId="0" fontId="21" fillId="2" borderId="77" xfId="2" applyFont="1" applyFill="1" applyBorder="1" applyAlignment="1">
      <alignment horizontal="left" vertical="center"/>
    </xf>
    <xf numFmtId="0" fontId="22" fillId="8" borderId="77" xfId="2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9" fontId="0" fillId="0" borderId="0" xfId="1" applyFont="1" applyAlignment="1">
      <alignment horizontal="center" vertical="center"/>
    </xf>
    <xf numFmtId="0" fontId="16" fillId="2" borderId="0" xfId="2" applyFont="1" applyFill="1" applyAlignment="1">
      <alignment horizontal="center"/>
    </xf>
    <xf numFmtId="0" fontId="18" fillId="2" borderId="10" xfId="2" applyFont="1" applyFill="1" applyBorder="1" applyAlignment="1">
      <alignment horizontal="center" vertical="center" wrapText="1"/>
    </xf>
    <xf numFmtId="0" fontId="18" fillId="2" borderId="36" xfId="2" applyFont="1" applyFill="1" applyBorder="1" applyAlignment="1">
      <alignment horizontal="center" vertical="center" wrapText="1"/>
    </xf>
    <xf numFmtId="0" fontId="18" fillId="2" borderId="35" xfId="2" applyFont="1" applyFill="1" applyBorder="1" applyAlignment="1">
      <alignment horizontal="center" vertical="center" wrapText="1"/>
    </xf>
    <xf numFmtId="0" fontId="18" fillId="2" borderId="37" xfId="2" applyFont="1" applyFill="1" applyBorder="1" applyAlignment="1">
      <alignment horizontal="center" vertical="center" wrapText="1"/>
    </xf>
    <xf numFmtId="9" fontId="23" fillId="2" borderId="43" xfId="1" applyFont="1" applyFill="1" applyBorder="1" applyAlignment="1">
      <alignment horizontal="center" vertical="center"/>
    </xf>
    <xf numFmtId="0" fontId="18" fillId="2" borderId="38" xfId="2" applyFont="1" applyFill="1" applyBorder="1" applyAlignment="1">
      <alignment horizontal="center" vertical="center" wrapText="1"/>
    </xf>
    <xf numFmtId="0" fontId="18" fillId="2" borderId="39" xfId="2" applyFont="1" applyFill="1" applyBorder="1" applyAlignment="1">
      <alignment horizontal="center" vertical="center" wrapText="1"/>
    </xf>
    <xf numFmtId="9" fontId="23" fillId="2" borderId="44" xfId="1" applyFont="1" applyFill="1" applyBorder="1" applyAlignment="1">
      <alignment horizontal="center" vertical="center"/>
    </xf>
    <xf numFmtId="9" fontId="23" fillId="2" borderId="45" xfId="1" applyFont="1" applyFill="1" applyBorder="1" applyAlignment="1">
      <alignment horizontal="center" vertical="center"/>
    </xf>
    <xf numFmtId="0" fontId="22" fillId="2" borderId="1" xfId="2" applyFont="1" applyFill="1" applyBorder="1" applyAlignment="1">
      <alignment horizontal="center" vertical="center" wrapText="1"/>
    </xf>
    <xf numFmtId="0" fontId="22" fillId="2" borderId="41" xfId="2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35" fillId="6" borderId="5" xfId="0" applyFont="1" applyFill="1" applyBorder="1" applyAlignment="1" applyProtection="1">
      <alignment horizontal="center" vertical="center"/>
      <protection locked="0"/>
    </xf>
    <xf numFmtId="0" fontId="35" fillId="6" borderId="6" xfId="0" applyFont="1" applyFill="1" applyBorder="1" applyAlignment="1" applyProtection="1">
      <alignment horizontal="center" vertical="center"/>
      <protection locked="0"/>
    </xf>
    <xf numFmtId="0" fontId="35" fillId="6" borderId="11" xfId="0" applyFont="1" applyFill="1" applyBorder="1" applyAlignment="1" applyProtection="1">
      <alignment horizontal="center" vertical="center"/>
      <protection locked="0"/>
    </xf>
    <xf numFmtId="0" fontId="18" fillId="2" borderId="10" xfId="2" applyFont="1" applyFill="1" applyBorder="1" applyAlignment="1">
      <alignment horizontal="left" vertical="center" wrapText="1"/>
    </xf>
    <xf numFmtId="0" fontId="18" fillId="2" borderId="35" xfId="2" applyFont="1" applyFill="1" applyBorder="1" applyAlignment="1">
      <alignment horizontal="left" vertical="center" wrapText="1"/>
    </xf>
    <xf numFmtId="0" fontId="18" fillId="2" borderId="38" xfId="2" applyFont="1" applyFill="1" applyBorder="1" applyAlignment="1">
      <alignment horizontal="left" vertical="center" wrapText="1"/>
    </xf>
    <xf numFmtId="0" fontId="22" fillId="2" borderId="40" xfId="2" applyFont="1" applyFill="1" applyBorder="1" applyAlignment="1">
      <alignment horizontal="left" vertical="center" wrapText="1"/>
    </xf>
    <xf numFmtId="0" fontId="22" fillId="2" borderId="2" xfId="2" applyFont="1" applyFill="1" applyBorder="1" applyAlignment="1">
      <alignment horizontal="left" vertical="center" wrapText="1"/>
    </xf>
    <xf numFmtId="9" fontId="23" fillId="2" borderId="55" xfId="1" applyFont="1" applyFill="1" applyBorder="1" applyAlignment="1">
      <alignment horizontal="center" vertical="center"/>
    </xf>
    <xf numFmtId="9" fontId="23" fillId="2" borderId="16" xfId="1" applyFont="1" applyFill="1" applyBorder="1" applyAlignment="1">
      <alignment horizontal="center" vertical="center"/>
    </xf>
    <xf numFmtId="9" fontId="23" fillId="2" borderId="17" xfId="1" applyFont="1" applyFill="1" applyBorder="1" applyAlignment="1">
      <alignment horizontal="center" vertical="center"/>
    </xf>
    <xf numFmtId="0" fontId="26" fillId="3" borderId="20" xfId="0" applyFont="1" applyFill="1" applyBorder="1" applyAlignment="1">
      <alignment horizontal="center" vertical="center"/>
    </xf>
    <xf numFmtId="0" fontId="26" fillId="3" borderId="21" xfId="0" applyFont="1" applyFill="1" applyBorder="1" applyAlignment="1">
      <alignment horizontal="center" vertical="center"/>
    </xf>
    <xf numFmtId="0" fontId="23" fillId="2" borderId="32" xfId="0" quotePrefix="1" applyFont="1" applyFill="1" applyBorder="1" applyAlignment="1">
      <alignment horizontal="left" vertical="center" indent="1"/>
    </xf>
    <xf numFmtId="0" fontId="17" fillId="2" borderId="25" xfId="0" quotePrefix="1" applyFont="1" applyFill="1" applyBorder="1" applyAlignment="1">
      <alignment horizontal="left" vertical="center" indent="1"/>
    </xf>
    <xf numFmtId="0" fontId="17" fillId="2" borderId="26" xfId="0" quotePrefix="1" applyFont="1" applyFill="1" applyBorder="1" applyAlignment="1">
      <alignment horizontal="left" vertical="center" indent="1"/>
    </xf>
    <xf numFmtId="0" fontId="17" fillId="2" borderId="27" xfId="0" quotePrefix="1" applyFont="1" applyFill="1" applyBorder="1" applyAlignment="1">
      <alignment horizontal="left" vertical="center" indent="1"/>
    </xf>
    <xf numFmtId="0" fontId="14" fillId="2" borderId="72" xfId="0" quotePrefix="1" applyFont="1" applyFill="1" applyBorder="1" applyAlignment="1">
      <alignment horizontal="left" vertical="center" indent="1"/>
    </xf>
    <xf numFmtId="0" fontId="14" fillId="2" borderId="73" xfId="0" quotePrefix="1" applyFont="1" applyFill="1" applyBorder="1" applyAlignment="1">
      <alignment horizontal="left" vertical="center" indent="1"/>
    </xf>
    <xf numFmtId="0" fontId="14" fillId="2" borderId="74" xfId="0" quotePrefix="1" applyFont="1" applyFill="1" applyBorder="1" applyAlignment="1">
      <alignment horizontal="left" vertical="center" indent="1"/>
    </xf>
    <xf numFmtId="9" fontId="14" fillId="2" borderId="75" xfId="1" applyFont="1" applyFill="1" applyBorder="1" applyAlignment="1">
      <alignment horizontal="center" vertical="center"/>
    </xf>
    <xf numFmtId="9" fontId="14" fillId="2" borderId="72" xfId="1" applyFont="1" applyFill="1" applyBorder="1" applyAlignment="1">
      <alignment horizontal="center" vertical="center"/>
    </xf>
    <xf numFmtId="0" fontId="17" fillId="2" borderId="22" xfId="0" quotePrefix="1" applyFont="1" applyFill="1" applyBorder="1" applyAlignment="1">
      <alignment horizontal="left" vertical="center" indent="1"/>
    </xf>
    <xf numFmtId="0" fontId="17" fillId="2" borderId="13" xfId="0" quotePrefix="1" applyFont="1" applyFill="1" applyBorder="1" applyAlignment="1">
      <alignment horizontal="left" vertical="center" indent="1"/>
    </xf>
    <xf numFmtId="0" fontId="17" fillId="2" borderId="23" xfId="0" quotePrefix="1" applyFont="1" applyFill="1" applyBorder="1" applyAlignment="1">
      <alignment horizontal="left" vertical="center" indent="1"/>
    </xf>
    <xf numFmtId="0" fontId="23" fillId="2" borderId="28" xfId="0" quotePrefix="1" applyFont="1" applyFill="1" applyBorder="1" applyAlignment="1">
      <alignment horizontal="left" vertical="center" indent="1"/>
    </xf>
    <xf numFmtId="0" fontId="23" fillId="2" borderId="8" xfId="0" quotePrefix="1" applyFont="1" applyFill="1" applyBorder="1" applyAlignment="1">
      <alignment horizontal="left" vertical="center" indent="1"/>
    </xf>
    <xf numFmtId="0" fontId="23" fillId="2" borderId="24" xfId="0" quotePrefix="1" applyFont="1" applyFill="1" applyBorder="1" applyAlignment="1">
      <alignment horizontal="left" vertical="center" indent="1"/>
    </xf>
    <xf numFmtId="0" fontId="17" fillId="2" borderId="29" xfId="0" quotePrefix="1" applyFont="1" applyFill="1" applyBorder="1" applyAlignment="1">
      <alignment horizontal="left" vertical="center" indent="1"/>
    </xf>
    <xf numFmtId="0" fontId="17" fillId="2" borderId="30" xfId="0" quotePrefix="1" applyFont="1" applyFill="1" applyBorder="1" applyAlignment="1">
      <alignment horizontal="left" vertical="center" indent="1"/>
    </xf>
    <xf numFmtId="0" fontId="17" fillId="2" borderId="31" xfId="0" quotePrefix="1" applyFont="1" applyFill="1" applyBorder="1" applyAlignment="1">
      <alignment horizontal="left" vertical="center" indent="1"/>
    </xf>
  </cellXfs>
  <cellStyles count="5">
    <cellStyle name="Currency 2" xfId="4" xr:uid="{2111BBEE-261A-0D48-A6C3-7EC716A9402E}"/>
    <cellStyle name="Normal" xfId="0" builtinId="0"/>
    <cellStyle name="Normal 2" xfId="2" xr:uid="{7D8BE767-4A57-C541-ACC3-86698977DFE5}"/>
    <cellStyle name="Percent" xfId="1" builtinId="5"/>
    <cellStyle name="Percent 2" xfId="3" xr:uid="{C99E8DE4-A5B9-6445-BD5F-5C623B90F71D}"/>
  </cellStyles>
  <dxfs count="10">
    <dxf>
      <fill>
        <patternFill>
          <bgColor rgb="FFFF3437"/>
        </patternFill>
      </fill>
    </dxf>
    <dxf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FFFE7F"/>
      <color rgb="FFFF34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043C6-0ED8-CA43-B276-8B24138C8046}">
  <sheetPr>
    <pageSetUpPr fitToPage="1"/>
  </sheetPr>
  <dimension ref="A1:AU197"/>
  <sheetViews>
    <sheetView tabSelected="1" topLeftCell="B1" zoomScaleNormal="100" workbookViewId="0">
      <selection activeCell="B8" sqref="B8:C9"/>
    </sheetView>
  </sheetViews>
  <sheetFormatPr defaultColWidth="10.875" defaultRowHeight="15"/>
  <cols>
    <col min="1" max="1" width="1.875" style="72" customWidth="1"/>
    <col min="2" max="3" width="20.875" style="41" customWidth="1"/>
    <col min="4" max="4" width="14.375" style="41" customWidth="1"/>
    <col min="5" max="5" width="1" style="41" customWidth="1"/>
    <col min="6" max="11" width="14.375" style="41" customWidth="1"/>
    <col min="12" max="12" width="6.625" style="41" customWidth="1"/>
    <col min="13" max="13" width="24.75" style="41" customWidth="1"/>
    <col min="14" max="14" width="46.875" style="41" customWidth="1"/>
    <col min="15" max="23" width="15.875" style="41" customWidth="1"/>
    <col min="24" max="51" width="8.375" style="41" customWidth="1"/>
    <col min="52" max="53" width="9.375" style="41" customWidth="1"/>
    <col min="54" max="54" width="11.625" style="41" customWidth="1"/>
    <col min="55" max="55" width="9.125" style="41" customWidth="1"/>
    <col min="56" max="56" width="10.375" style="41" customWidth="1"/>
    <col min="57" max="57" width="8.375" style="41" customWidth="1"/>
    <col min="58" max="58" width="10.375" style="41" customWidth="1"/>
    <col min="59" max="59" width="8.375" style="41" customWidth="1"/>
    <col min="60" max="61" width="9.875" style="41" customWidth="1"/>
    <col min="62" max="16384" width="10.875" style="41"/>
  </cols>
  <sheetData>
    <row r="1" spans="1:41" ht="9.9499999999999993" customHeight="1"/>
    <row r="2" spans="1:41" ht="30">
      <c r="B2" s="62" t="s">
        <v>0</v>
      </c>
      <c r="C2" s="40"/>
      <c r="J2" s="42"/>
      <c r="K2" s="42"/>
      <c r="L2" s="42"/>
      <c r="M2" s="43"/>
      <c r="N2" s="42"/>
      <c r="O2" s="42"/>
      <c r="P2" s="42"/>
      <c r="Q2" s="42"/>
      <c r="R2" s="42">
        <v>0</v>
      </c>
    </row>
    <row r="3" spans="1:41" ht="27.95" customHeight="1">
      <c r="B3" s="61" t="str">
        <f>"Reporting Period: 2025 - "&amp;$B$156</f>
        <v>Reporting Period: 2025 - Q4</v>
      </c>
      <c r="C3" s="44"/>
    </row>
    <row r="4" spans="1:41" ht="18" customHeight="1">
      <c r="B4" s="45" t="s">
        <v>596</v>
      </c>
      <c r="C4" s="45"/>
    </row>
    <row r="5" spans="1:41" ht="18" customHeight="1">
      <c r="B5" s="57"/>
      <c r="C5" s="57"/>
      <c r="D5" s="59"/>
      <c r="E5" s="59"/>
      <c r="F5" s="59"/>
      <c r="G5" s="59"/>
      <c r="H5" s="59"/>
      <c r="I5" s="59"/>
      <c r="J5" s="46"/>
      <c r="K5" s="46"/>
      <c r="L5" s="46"/>
      <c r="M5" s="46"/>
      <c r="N5" s="46"/>
      <c r="O5" s="46"/>
      <c r="P5" s="46"/>
      <c r="Q5" s="46" t="s">
        <v>1</v>
      </c>
      <c r="R5" s="46"/>
      <c r="S5" s="46"/>
      <c r="T5" s="46"/>
      <c r="U5" s="46"/>
      <c r="V5" s="46"/>
      <c r="W5" s="46"/>
      <c r="X5" s="46"/>
      <c r="Y5" s="46" t="s">
        <v>1</v>
      </c>
      <c r="Z5" s="46"/>
      <c r="AA5" s="46"/>
      <c r="AB5" s="46"/>
      <c r="AC5" s="46"/>
      <c r="AD5" s="46"/>
      <c r="AE5" s="46"/>
      <c r="AF5" s="46"/>
      <c r="AG5" s="46" t="s">
        <v>1</v>
      </c>
      <c r="AH5" s="46"/>
      <c r="AI5" s="46"/>
      <c r="AJ5" s="46"/>
      <c r="AK5" s="46"/>
      <c r="AL5" s="46"/>
      <c r="AM5" s="46"/>
      <c r="AN5" s="46"/>
    </row>
    <row r="6" spans="1:41" s="47" customFormat="1" ht="140.1" customHeight="1">
      <c r="A6" s="73"/>
      <c r="B6" s="90" t="s">
        <v>2</v>
      </c>
      <c r="C6" s="82"/>
      <c r="D6" s="80" t="str">
        <f>$B$156&amp;" Average"</f>
        <v>Q4 Average</v>
      </c>
      <c r="E6" s="84"/>
      <c r="G6" s="156" t="s">
        <v>32</v>
      </c>
      <c r="H6" s="150" t="s">
        <v>3</v>
      </c>
      <c r="I6" s="119" t="s">
        <v>4</v>
      </c>
      <c r="J6" s="119" t="s">
        <v>5</v>
      </c>
      <c r="K6" s="119" t="s">
        <v>6</v>
      </c>
      <c r="M6" s="47" t="s">
        <v>1</v>
      </c>
      <c r="O6" s="47" t="s">
        <v>1</v>
      </c>
      <c r="Q6" s="47" t="s">
        <v>1</v>
      </c>
      <c r="S6" s="47" t="s">
        <v>1</v>
      </c>
      <c r="V6" s="47" t="s">
        <v>1</v>
      </c>
      <c r="X6" s="47" t="s">
        <v>1</v>
      </c>
      <c r="Z6" s="47" t="s">
        <v>1</v>
      </c>
      <c r="AB6" s="48" t="s">
        <v>1</v>
      </c>
      <c r="AC6" s="48" t="s">
        <v>1</v>
      </c>
      <c r="AD6" s="48" t="s">
        <v>1</v>
      </c>
      <c r="AE6" s="48" t="s">
        <v>1</v>
      </c>
      <c r="AF6" s="48" t="s">
        <v>1</v>
      </c>
      <c r="AG6" s="48" t="s">
        <v>1</v>
      </c>
      <c r="AH6" s="47" t="s">
        <v>1</v>
      </c>
      <c r="AJ6" s="48" t="s">
        <v>1</v>
      </c>
      <c r="AK6" s="48" t="s">
        <v>1</v>
      </c>
      <c r="AL6" s="48" t="s">
        <v>1</v>
      </c>
      <c r="AM6" s="48" t="s">
        <v>1</v>
      </c>
      <c r="AN6" s="48" t="s">
        <v>1</v>
      </c>
      <c r="AO6" s="48" t="s">
        <v>1</v>
      </c>
    </row>
    <row r="7" spans="1:41" s="47" customFormat="1" ht="9.9499999999999993" customHeight="1" thickBot="1">
      <c r="A7" s="73"/>
      <c r="B7" s="58"/>
      <c r="C7" s="58"/>
      <c r="D7" s="83"/>
      <c r="E7" s="85"/>
      <c r="G7" s="157"/>
      <c r="H7" s="151"/>
      <c r="I7" s="60"/>
      <c r="J7" s="60"/>
      <c r="K7" s="60"/>
      <c r="AB7" s="48"/>
      <c r="AC7" s="48"/>
      <c r="AD7" s="48"/>
      <c r="AE7" s="48"/>
      <c r="AF7" s="48"/>
      <c r="AG7" s="48"/>
      <c r="AJ7" s="48"/>
      <c r="AK7" s="48"/>
      <c r="AL7" s="48"/>
      <c r="AM7" s="48"/>
      <c r="AN7" s="48"/>
      <c r="AO7" s="48"/>
    </row>
    <row r="8" spans="1:41" s="51" customFormat="1" ht="36" customHeight="1" thickBot="1">
      <c r="A8" s="74"/>
      <c r="B8" s="202" t="s">
        <v>7</v>
      </c>
      <c r="C8" s="202"/>
      <c r="D8" s="200">
        <f>IF($C168="","",G168)</f>
        <v>0.884765625</v>
      </c>
      <c r="E8" s="86"/>
      <c r="F8" s="125" t="s">
        <v>8</v>
      </c>
      <c r="G8" s="158">
        <f>IF($C181="","",G181)</f>
        <v>0.8828125</v>
      </c>
      <c r="H8" s="152">
        <f>IF($C181="","",H181)</f>
        <v>0.90625</v>
      </c>
      <c r="I8" s="69">
        <f>IF($C181="","",I181)</f>
        <v>0.8125</v>
      </c>
      <c r="J8" s="69">
        <f>IF($C181="","",J181)</f>
        <v>0.96875</v>
      </c>
      <c r="K8" s="69">
        <f>IF($C181="","",K181)</f>
        <v>0.84375</v>
      </c>
      <c r="L8" s="49"/>
      <c r="M8" s="188" t="s">
        <v>597</v>
      </c>
      <c r="N8" s="187" t="s">
        <v>600</v>
      </c>
      <c r="O8" s="49"/>
      <c r="P8" s="49"/>
      <c r="Q8" s="49"/>
      <c r="R8" s="49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</row>
    <row r="9" spans="1:41" s="51" customFormat="1" ht="36" customHeight="1" thickBot="1">
      <c r="A9" s="74"/>
      <c r="B9" s="203"/>
      <c r="C9" s="203"/>
      <c r="D9" s="201"/>
      <c r="E9" s="86"/>
      <c r="F9" s="126" t="s">
        <v>9</v>
      </c>
      <c r="G9" s="159">
        <f>IFERROR(IF($C194="","",G194),"TBD")</f>
        <v>0.88671875</v>
      </c>
      <c r="H9" s="153">
        <f t="shared" ref="H9:K9" si="0">IFERROR(IF($C194="","",H194),"TBD")</f>
        <v>0.890625</v>
      </c>
      <c r="I9" s="120">
        <f t="shared" si="0"/>
        <v>0.859375</v>
      </c>
      <c r="J9" s="120">
        <f t="shared" si="0"/>
        <v>0.921875</v>
      </c>
      <c r="K9" s="120">
        <f t="shared" si="0"/>
        <v>0.875</v>
      </c>
      <c r="L9" s="49"/>
      <c r="M9" s="188" t="s">
        <v>598</v>
      </c>
      <c r="N9" s="187" t="s">
        <v>599</v>
      </c>
      <c r="O9" s="49"/>
      <c r="P9" s="49"/>
      <c r="Q9" s="49"/>
      <c r="R9" s="49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</row>
    <row r="10" spans="1:41" s="51" customFormat="1" ht="5.0999999999999996" customHeight="1">
      <c r="A10" s="74"/>
      <c r="B10" s="104"/>
      <c r="C10" s="104"/>
      <c r="D10" s="92"/>
      <c r="E10" s="92"/>
      <c r="G10" s="160"/>
      <c r="H10" s="105"/>
      <c r="I10" s="105"/>
      <c r="J10" s="105"/>
      <c r="K10" s="105"/>
      <c r="L10" s="49"/>
      <c r="M10" s="49"/>
      <c r="N10" s="49"/>
      <c r="O10" s="49"/>
      <c r="P10" s="49"/>
      <c r="Q10" s="49"/>
      <c r="R10" s="49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</row>
    <row r="11" spans="1:41" s="47" customFormat="1" ht="32.1" customHeight="1">
      <c r="A11" s="73"/>
      <c r="B11" s="198" t="s">
        <v>10</v>
      </c>
      <c r="C11" s="199"/>
      <c r="D11" s="197">
        <f>IF($B11="","",SUMIFS(G$158:G$167,$C$158:$C$167,$B11))</f>
        <v>0.90277777777777779</v>
      </c>
      <c r="E11" s="87"/>
      <c r="F11" s="123" t="s">
        <v>8</v>
      </c>
      <c r="G11" s="161">
        <f>IF($B11="","",SUMIFS(G$171:G$180,$C$171:$C$180,$B11))</f>
        <v>0.88888888888888884</v>
      </c>
      <c r="H11" s="154">
        <f>IF($B11="","",SUMIFS(H$171:H$180,$C$171:$C$180,$B11))</f>
        <v>0.88888888888888884</v>
      </c>
      <c r="I11" s="121">
        <f t="shared" ref="I11:K27" si="1">IF($B11="","",SUMIFS(I$171:I$180,$C$171:$C$180,$B11))</f>
        <v>0.77777777777777779</v>
      </c>
      <c r="J11" s="121">
        <f t="shared" si="1"/>
        <v>0.94444444444444442</v>
      </c>
      <c r="K11" s="121">
        <f t="shared" si="1"/>
        <v>0.94444444444444442</v>
      </c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</row>
    <row r="12" spans="1:41" s="47" customFormat="1" ht="32.1" customHeight="1">
      <c r="A12" s="73"/>
      <c r="B12" s="195"/>
      <c r="C12" s="196"/>
      <c r="D12" s="197"/>
      <c r="E12" s="87"/>
      <c r="F12" s="124" t="s">
        <v>9</v>
      </c>
      <c r="G12" s="162">
        <f>IFERROR(IF($B11="","",SUMIFS(G$184:G$193,$C$184:$C$193,$B11)),"TBD")</f>
        <v>0.91666666666666663</v>
      </c>
      <c r="H12" s="155">
        <f t="shared" ref="H12:K12" si="2">IFERROR(IF($B11="","",SUMIFS(H$184:H$193,$C$184:$C$193,$B11)),"TBD")</f>
        <v>0.94444444444444442</v>
      </c>
      <c r="I12" s="122">
        <f t="shared" si="2"/>
        <v>0.88888888888888884</v>
      </c>
      <c r="J12" s="122">
        <f t="shared" si="2"/>
        <v>0.94444444444444442</v>
      </c>
      <c r="K12" s="122">
        <f t="shared" si="2"/>
        <v>0.88888888888888884</v>
      </c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</row>
    <row r="13" spans="1:41" s="47" customFormat="1" ht="32.1" customHeight="1">
      <c r="A13" s="73"/>
      <c r="B13" s="193" t="s">
        <v>11</v>
      </c>
      <c r="C13" s="194"/>
      <c r="D13" s="197">
        <f t="shared" ref="D13" si="3">IF($B13="","",SUMIFS(G$158:G$167,$C$158:$C$167,$B13))</f>
        <v>0.9375</v>
      </c>
      <c r="E13" s="87"/>
      <c r="F13" s="123" t="s">
        <v>8</v>
      </c>
      <c r="G13" s="161">
        <f>IF($B13="","",SUMIFS(G$171:G$180,$C$171:$C$180,$B13))</f>
        <v>0.875</v>
      </c>
      <c r="H13" s="154">
        <f>IF($B13="","",SUMIFS(H$171:H$180,$C$171:$C$180,$B13))</f>
        <v>1</v>
      </c>
      <c r="I13" s="121">
        <f t="shared" si="1"/>
        <v>1</v>
      </c>
      <c r="J13" s="121">
        <f t="shared" si="1"/>
        <v>1</v>
      </c>
      <c r="K13" s="121">
        <f t="shared" si="1"/>
        <v>0.5</v>
      </c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</row>
    <row r="14" spans="1:41" s="47" customFormat="1" ht="32.1" customHeight="1">
      <c r="A14" s="73"/>
      <c r="B14" s="195"/>
      <c r="C14" s="196"/>
      <c r="D14" s="197"/>
      <c r="E14" s="87"/>
      <c r="F14" s="124" t="s">
        <v>9</v>
      </c>
      <c r="G14" s="162">
        <f>IFERROR(IF($B13="","",SUMIFS(G$184:G$193,$C$184:$C$193,$B13)),"TBD")</f>
        <v>1</v>
      </c>
      <c r="H14" s="155">
        <f t="shared" ref="H14:K14" si="4">IFERROR(IF($B13="","",SUMIFS(H$184:H$193,$C$184:$C$193,$B13)),"TBD")</f>
        <v>1</v>
      </c>
      <c r="I14" s="122">
        <f t="shared" si="4"/>
        <v>1</v>
      </c>
      <c r="J14" s="122">
        <f t="shared" si="4"/>
        <v>1</v>
      </c>
      <c r="K14" s="122">
        <f t="shared" si="4"/>
        <v>1</v>
      </c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</row>
    <row r="15" spans="1:41" s="47" customFormat="1" ht="32.1" customHeight="1">
      <c r="A15" s="73"/>
      <c r="B15" s="193" t="s">
        <v>12</v>
      </c>
      <c r="C15" s="194"/>
      <c r="D15" s="197">
        <f t="shared" ref="D15" si="5">IF($B15="","",SUMIFS(G$158:G$167,$C$158:$C$167,$B15))</f>
        <v>0.75</v>
      </c>
      <c r="E15" s="87"/>
      <c r="F15" s="123" t="s">
        <v>8</v>
      </c>
      <c r="G15" s="161">
        <f>IF($B15="","",SUMIFS(G$171:G$180,$C$171:$C$180,$B15))</f>
        <v>0.83333333333333337</v>
      </c>
      <c r="H15" s="154">
        <f>IF($B15="","",SUMIFS(H$171:H$180,$C$171:$C$180,$B15))</f>
        <v>1</v>
      </c>
      <c r="I15" s="121">
        <f t="shared" si="1"/>
        <v>1</v>
      </c>
      <c r="J15" s="121">
        <f t="shared" si="1"/>
        <v>1</v>
      </c>
      <c r="K15" s="121">
        <f t="shared" si="1"/>
        <v>0.33333333333333331</v>
      </c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</row>
    <row r="16" spans="1:41" s="47" customFormat="1" ht="32.1" customHeight="1">
      <c r="A16" s="73"/>
      <c r="B16" s="195"/>
      <c r="C16" s="196"/>
      <c r="D16" s="197"/>
      <c r="E16" s="87"/>
      <c r="F16" s="124" t="s">
        <v>9</v>
      </c>
      <c r="G16" s="162">
        <f>IFERROR(IF($B15="","",SUMIFS(G$184:G$193,$C$184:$C$193,$B15)),"TBD")</f>
        <v>0.66666666666666663</v>
      </c>
      <c r="H16" s="155">
        <f t="shared" ref="H16:K16" si="6">IFERROR(IF($B15="","",SUMIFS(H$184:H$193,$C$184:$C$193,$B15)),"TBD")</f>
        <v>0.66666666666666663</v>
      </c>
      <c r="I16" s="122">
        <f t="shared" si="6"/>
        <v>0.66666666666666663</v>
      </c>
      <c r="J16" s="122">
        <f t="shared" si="6"/>
        <v>1</v>
      </c>
      <c r="K16" s="122">
        <f t="shared" si="6"/>
        <v>0.33333333333333331</v>
      </c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</row>
    <row r="17" spans="1:41" s="47" customFormat="1" ht="32.1" customHeight="1">
      <c r="A17" s="73"/>
      <c r="B17" s="193" t="s">
        <v>13</v>
      </c>
      <c r="C17" s="194"/>
      <c r="D17" s="197">
        <f t="shared" ref="D17" si="7">IF($B17="","",SUMIFS(G$158:G$167,$C$158:$C$167,$B17))</f>
        <v>0.890625</v>
      </c>
      <c r="E17" s="87"/>
      <c r="F17" s="123" t="s">
        <v>8</v>
      </c>
      <c r="G17" s="161">
        <f>IF($B17="","",SUMIFS(G$171:G$180,$C$171:$C$180,$B17))</f>
        <v>0.875</v>
      </c>
      <c r="H17" s="154">
        <f>IF($B17="","",SUMIFS(H$171:H$180,$C$171:$C$180,$B17))</f>
        <v>0.75</v>
      </c>
      <c r="I17" s="121">
        <f t="shared" si="1"/>
        <v>0.75</v>
      </c>
      <c r="J17" s="121">
        <f t="shared" si="1"/>
        <v>1</v>
      </c>
      <c r="K17" s="121">
        <f t="shared" si="1"/>
        <v>1</v>
      </c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</row>
    <row r="18" spans="1:41" s="47" customFormat="1" ht="32.1" customHeight="1">
      <c r="A18" s="73"/>
      <c r="B18" s="195"/>
      <c r="C18" s="196"/>
      <c r="D18" s="197"/>
      <c r="E18" s="87"/>
      <c r="F18" s="124" t="s">
        <v>9</v>
      </c>
      <c r="G18" s="162">
        <f>IFERROR(IF($B17="","",SUMIFS(G$184:G$193,$C$184:$C$193,$B17)),"TBD")</f>
        <v>0.90625</v>
      </c>
      <c r="H18" s="155">
        <f t="shared" ref="H18:K18" si="8">IFERROR(IF($B17="","",SUMIFS(H$184:H$193,$C$184:$C$193,$B17)),"TBD")</f>
        <v>0.875</v>
      </c>
      <c r="I18" s="122">
        <f t="shared" si="8"/>
        <v>1</v>
      </c>
      <c r="J18" s="122">
        <f t="shared" si="8"/>
        <v>0.875</v>
      </c>
      <c r="K18" s="122">
        <f t="shared" si="8"/>
        <v>0.875</v>
      </c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</row>
    <row r="19" spans="1:41" s="47" customFormat="1" ht="32.1" customHeight="1">
      <c r="A19" s="73"/>
      <c r="B19" s="193" t="s">
        <v>14</v>
      </c>
      <c r="C19" s="194"/>
      <c r="D19" s="197">
        <f t="shared" ref="D19" si="9">IF($B19="","",SUMIFS(G$158:G$167,$C$158:$C$167,$B19))</f>
        <v>0.94444444444444442</v>
      </c>
      <c r="E19" s="87"/>
      <c r="F19" s="123" t="s">
        <v>8</v>
      </c>
      <c r="G19" s="161">
        <f>IF($B19="","",SUMIFS(G$171:G$180,$C$171:$C$180,$B19))</f>
        <v>0.97222222222222221</v>
      </c>
      <c r="H19" s="154">
        <f>IF($B19="","",SUMIFS(H$171:H$180,$C$171:$C$180,$B19))</f>
        <v>1</v>
      </c>
      <c r="I19" s="121">
        <f t="shared" si="1"/>
        <v>1</v>
      </c>
      <c r="J19" s="121">
        <f t="shared" si="1"/>
        <v>1</v>
      </c>
      <c r="K19" s="121">
        <f t="shared" si="1"/>
        <v>0.88888888888888884</v>
      </c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</row>
    <row r="20" spans="1:41" s="47" customFormat="1" ht="27.95" customHeight="1">
      <c r="A20" s="73"/>
      <c r="B20" s="195"/>
      <c r="C20" s="196"/>
      <c r="D20" s="197"/>
      <c r="E20" s="87"/>
      <c r="F20" s="124" t="s">
        <v>9</v>
      </c>
      <c r="G20" s="162">
        <f>IFERROR(IF($B19="","",SUMIFS(G$184:G$193,$C$184:$C$193,$B19)),"TBD")</f>
        <v>0.91666666666666663</v>
      </c>
      <c r="H20" s="155">
        <f t="shared" ref="H20:K20" si="10">IFERROR(IF($B19="","",SUMIFS(H$184:H$193,$C$184:$C$193,$B19)),"TBD")</f>
        <v>1</v>
      </c>
      <c r="I20" s="122">
        <f t="shared" si="10"/>
        <v>0.88888888888888884</v>
      </c>
      <c r="J20" s="122">
        <f t="shared" si="10"/>
        <v>0.88888888888888884</v>
      </c>
      <c r="K20" s="122">
        <f t="shared" si="10"/>
        <v>0.88888888888888884</v>
      </c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</row>
    <row r="21" spans="1:41" s="47" customFormat="1" ht="32.1" customHeight="1">
      <c r="A21" s="73"/>
      <c r="B21" s="193" t="s">
        <v>15</v>
      </c>
      <c r="C21" s="194"/>
      <c r="D21" s="197">
        <f t="shared" ref="D21" si="11">IF($B21="","",SUMIFS(G$158:G$167,$C$158:$C$167,$B21))</f>
        <v>0.9</v>
      </c>
      <c r="E21" s="87"/>
      <c r="F21" s="123" t="s">
        <v>8</v>
      </c>
      <c r="G21" s="161">
        <f>IF($B21="","",SUMIFS(G$171:G$180,$C$171:$C$180,$B21))</f>
        <v>0.92500000000000004</v>
      </c>
      <c r="H21" s="154">
        <f>IF($B21="","",SUMIFS(H$171:H$180,$C$171:$C$180,$B21))</f>
        <v>1</v>
      </c>
      <c r="I21" s="121">
        <f t="shared" si="1"/>
        <v>0.8</v>
      </c>
      <c r="J21" s="121">
        <f t="shared" si="1"/>
        <v>1</v>
      </c>
      <c r="K21" s="121">
        <f t="shared" si="1"/>
        <v>0.9</v>
      </c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</row>
    <row r="22" spans="1:41" s="47" customFormat="1" ht="32.1" customHeight="1">
      <c r="A22" s="73"/>
      <c r="B22" s="195"/>
      <c r="C22" s="196"/>
      <c r="D22" s="197"/>
      <c r="E22" s="87"/>
      <c r="F22" s="124" t="s">
        <v>9</v>
      </c>
      <c r="G22" s="162">
        <f>IFERROR(IF($B21="","",SUMIFS(G$184:G$193,$C$184:$C$193,$B21)),"TBD")</f>
        <v>0.875</v>
      </c>
      <c r="H22" s="155">
        <f t="shared" ref="H22:K22" si="12">IFERROR(IF($B21="","",SUMIFS(H$184:H$193,$C$184:$C$193,$B21)),"TBD")</f>
        <v>0.9</v>
      </c>
      <c r="I22" s="122">
        <f t="shared" si="12"/>
        <v>0.8</v>
      </c>
      <c r="J22" s="122">
        <f t="shared" si="12"/>
        <v>0.9</v>
      </c>
      <c r="K22" s="122">
        <f t="shared" si="12"/>
        <v>0.9</v>
      </c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</row>
    <row r="23" spans="1:41" s="47" customFormat="1" ht="32.1" customHeight="1">
      <c r="A23" s="73"/>
      <c r="B23" s="193" t="s">
        <v>16</v>
      </c>
      <c r="C23" s="194"/>
      <c r="D23" s="197">
        <f t="shared" ref="D23" si="13">IF($B23="","",SUMIFS(G$158:G$167,$C$158:$C$167,$B23))</f>
        <v>0.81818181818181823</v>
      </c>
      <c r="E23" s="87"/>
      <c r="F23" s="123" t="s">
        <v>8</v>
      </c>
      <c r="G23" s="161">
        <f>IF($B23="","",SUMIFS(G$171:G$180,$C$171:$C$180,$B23))</f>
        <v>0.79545454545454541</v>
      </c>
      <c r="H23" s="154">
        <f>IF($B23="","",SUMIFS(H$171:H$180,$C$171:$C$180,$B23))</f>
        <v>0.90909090909090906</v>
      </c>
      <c r="I23" s="121">
        <f t="shared" si="1"/>
        <v>0.63636363636363635</v>
      </c>
      <c r="J23" s="121">
        <f t="shared" si="1"/>
        <v>0.90909090909090906</v>
      </c>
      <c r="K23" s="121">
        <f t="shared" si="1"/>
        <v>0.72727272727272729</v>
      </c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</row>
    <row r="24" spans="1:41" s="47" customFormat="1" ht="32.1" customHeight="1">
      <c r="A24" s="73"/>
      <c r="B24" s="195"/>
      <c r="C24" s="196"/>
      <c r="D24" s="197"/>
      <c r="E24" s="87"/>
      <c r="F24" s="124" t="s">
        <v>9</v>
      </c>
      <c r="G24" s="162">
        <f>IFERROR(IF($B23="","",SUMIFS(G$184:G$193,$C$184:$C$193,$B23)),"TBD")</f>
        <v>0.84090909090909094</v>
      </c>
      <c r="H24" s="155">
        <f t="shared" ref="H24:K24" si="14">IFERROR(IF($B23="","",SUMIFS(H$184:H$193,$C$184:$C$193,$B23)),"TBD")</f>
        <v>0.81818181818181823</v>
      </c>
      <c r="I24" s="122">
        <f t="shared" si="14"/>
        <v>0.72727272727272729</v>
      </c>
      <c r="J24" s="122">
        <f t="shared" si="14"/>
        <v>0.90909090909090906</v>
      </c>
      <c r="K24" s="122">
        <f t="shared" si="14"/>
        <v>0.90909090909090906</v>
      </c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</row>
    <row r="25" spans="1:41" s="47" customFormat="1" ht="32.1" customHeight="1">
      <c r="A25" s="73"/>
      <c r="B25" s="193" t="s">
        <v>17</v>
      </c>
      <c r="C25" s="194"/>
      <c r="D25" s="197">
        <f t="shared" ref="D25" si="15">IF($B25="","",SUMIFS(G$158:G$167,$C$158:$C$167,$B25))</f>
        <v>0.75</v>
      </c>
      <c r="E25" s="87"/>
      <c r="F25" s="123" t="s">
        <v>8</v>
      </c>
      <c r="G25" s="161">
        <f>IF($B25="","",SUMIFS(G$171:G$180,$C$171:$C$180,$B25))</f>
        <v>0.75</v>
      </c>
      <c r="H25" s="154">
        <f>IF($B25="","",SUMIFS(H$171:H$180,$C$171:$C$180,$B25))</f>
        <v>0</v>
      </c>
      <c r="I25" s="121">
        <f t="shared" si="1"/>
        <v>1</v>
      </c>
      <c r="J25" s="121">
        <f t="shared" si="1"/>
        <v>1</v>
      </c>
      <c r="K25" s="121">
        <f t="shared" si="1"/>
        <v>1</v>
      </c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</row>
    <row r="26" spans="1:41" s="47" customFormat="1" ht="32.1" customHeight="1">
      <c r="A26" s="73"/>
      <c r="B26" s="195"/>
      <c r="C26" s="196"/>
      <c r="D26" s="197"/>
      <c r="E26" s="87"/>
      <c r="F26" s="124" t="s">
        <v>9</v>
      </c>
      <c r="G26" s="162">
        <f>IFERROR(IF($B25="","",SUMIFS(G$184:G$193,$C$184:$C$193,$B25)),"TBD")</f>
        <v>0.75</v>
      </c>
      <c r="H26" s="155">
        <f t="shared" ref="H26:K26" si="16">IFERROR(IF($B25="","",SUMIFS(H$184:H$193,$C$184:$C$193,$B25)),"TBD")</f>
        <v>0</v>
      </c>
      <c r="I26" s="122">
        <f t="shared" si="16"/>
        <v>1</v>
      </c>
      <c r="J26" s="122">
        <f t="shared" si="16"/>
        <v>1</v>
      </c>
      <c r="K26" s="122">
        <f t="shared" si="16"/>
        <v>1</v>
      </c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</row>
    <row r="27" spans="1:41" s="47" customFormat="1" ht="32.1" hidden="1" customHeight="1">
      <c r="A27" s="73"/>
      <c r="B27" s="193" t="s">
        <v>18</v>
      </c>
      <c r="C27" s="194"/>
      <c r="D27" s="197">
        <f t="shared" ref="D27" si="17">IF($B27="","",SUMIFS(G$158:G$167,$C$158:$C$167,$B27))</f>
        <v>0</v>
      </c>
      <c r="E27" s="87"/>
      <c r="F27" s="123" t="s">
        <v>8</v>
      </c>
      <c r="G27" s="161">
        <f>IF($B27="","",SUMIFS(G$171:G$180,$C$171:$C$180,$B27))</f>
        <v>0</v>
      </c>
      <c r="H27" s="154">
        <f>IF($B27="","",SUMIFS(H$171:H$180,$C$171:$C$180,$B27))</f>
        <v>0</v>
      </c>
      <c r="I27" s="121">
        <f t="shared" si="1"/>
        <v>0</v>
      </c>
      <c r="J27" s="121">
        <f t="shared" si="1"/>
        <v>0</v>
      </c>
      <c r="K27" s="121">
        <f t="shared" si="1"/>
        <v>0</v>
      </c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</row>
    <row r="28" spans="1:41" s="47" customFormat="1" ht="27.95" hidden="1" customHeight="1">
      <c r="A28" s="73"/>
      <c r="B28" s="195"/>
      <c r="C28" s="196"/>
      <c r="D28" s="197"/>
      <c r="E28" s="87"/>
      <c r="F28" s="124" t="s">
        <v>9</v>
      </c>
      <c r="G28" s="162">
        <f>IFERROR(IF($B27="","",SUMIFS(G$184:G$193,$C$184:$C$193,$B27)),"TBD")</f>
        <v>0</v>
      </c>
      <c r="H28" s="155">
        <f t="shared" ref="H28:K28" si="18">IFERROR(IF($B27="","",SUMIFS(H$184:H$193,$C$184:$C$193,$B27)),"TBD")</f>
        <v>0</v>
      </c>
      <c r="I28" s="122">
        <f t="shared" si="18"/>
        <v>0</v>
      </c>
      <c r="J28" s="122">
        <f t="shared" si="18"/>
        <v>0</v>
      </c>
      <c r="K28" s="122">
        <f t="shared" si="18"/>
        <v>0</v>
      </c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</row>
    <row r="29" spans="1:41" s="45" customFormat="1" ht="27.95" customHeight="1">
      <c r="A29" s="75"/>
      <c r="B29" s="41"/>
      <c r="C29" s="41"/>
      <c r="D29" s="41"/>
      <c r="E29" s="41"/>
      <c r="F29" s="41"/>
      <c r="G29" s="41"/>
      <c r="H29" s="41"/>
      <c r="I29" s="41"/>
      <c r="J29" s="41"/>
    </row>
    <row r="30" spans="1:41" s="45" customFormat="1" ht="27.95" customHeight="1">
      <c r="A30" s="75"/>
      <c r="B30" s="41"/>
      <c r="C30" s="41"/>
      <c r="D30" s="41"/>
      <c r="E30" s="41"/>
      <c r="F30" s="41"/>
      <c r="G30" s="41"/>
      <c r="H30" s="41"/>
      <c r="I30" s="41"/>
      <c r="J30" s="41"/>
    </row>
    <row r="31" spans="1:41" s="45" customFormat="1" ht="27.95" customHeight="1">
      <c r="A31" s="75"/>
      <c r="B31" s="41"/>
      <c r="C31" s="41"/>
      <c r="D31" s="41"/>
      <c r="E31" s="41"/>
      <c r="F31" s="41"/>
      <c r="G31" s="41"/>
      <c r="H31" s="41"/>
      <c r="I31" s="41"/>
      <c r="J31" s="41"/>
    </row>
    <row r="32" spans="1:41" s="45" customFormat="1" ht="27.95" customHeight="1">
      <c r="A32" s="75"/>
      <c r="B32" s="41"/>
      <c r="C32" s="41"/>
      <c r="D32" s="41"/>
      <c r="E32" s="41"/>
      <c r="F32" s="41"/>
      <c r="G32" s="41"/>
      <c r="H32" s="41"/>
      <c r="I32" s="41"/>
      <c r="J32" s="41"/>
    </row>
    <row r="33" spans="1:10" ht="24.95" customHeight="1"/>
    <row r="34" spans="1:10" ht="24.95" customHeight="1"/>
    <row r="35" spans="1:10" ht="24.95" customHeight="1"/>
    <row r="36" spans="1:10" ht="24.95" customHeight="1"/>
    <row r="37" spans="1:10" s="39" customFormat="1" ht="24.95" customHeight="1">
      <c r="A37" s="72"/>
      <c r="B37" s="41"/>
      <c r="C37" s="41"/>
      <c r="D37" s="41"/>
      <c r="E37" s="41"/>
      <c r="F37" s="41"/>
      <c r="G37" s="41"/>
      <c r="H37" s="41"/>
      <c r="I37" s="41"/>
      <c r="J37" s="41"/>
    </row>
    <row r="38" spans="1:10" s="39" customFormat="1" ht="24.95" customHeight="1">
      <c r="A38" s="72"/>
      <c r="B38" s="41"/>
      <c r="C38" s="41"/>
      <c r="D38" s="41"/>
      <c r="E38" s="41"/>
      <c r="F38" s="41"/>
      <c r="G38" s="41"/>
      <c r="H38" s="41"/>
      <c r="I38" s="41"/>
      <c r="J38" s="41"/>
    </row>
    <row r="39" spans="1:10" s="39" customFormat="1" ht="24.95" customHeight="1">
      <c r="A39" s="72"/>
      <c r="B39" s="41"/>
      <c r="C39" s="41"/>
      <c r="D39" s="41"/>
      <c r="E39" s="41"/>
      <c r="F39" s="41"/>
      <c r="G39" s="41"/>
      <c r="H39" s="41"/>
      <c r="I39" s="41"/>
      <c r="J39" s="41"/>
    </row>
    <row r="40" spans="1:10" s="39" customFormat="1" ht="24.95" customHeight="1">
      <c r="A40" s="72"/>
    </row>
    <row r="41" spans="1:10" s="39" customFormat="1" ht="24.95" customHeight="1">
      <c r="A41" s="72"/>
    </row>
    <row r="42" spans="1:10" s="39" customFormat="1" ht="24.95" customHeight="1">
      <c r="A42" s="72"/>
    </row>
    <row r="43" spans="1:10" s="39" customFormat="1" ht="24.95" customHeight="1">
      <c r="A43" s="72"/>
    </row>
    <row r="44" spans="1:10" s="39" customFormat="1" ht="24.95" customHeight="1">
      <c r="A44" s="72"/>
    </row>
    <row r="45" spans="1:10" s="39" customFormat="1" ht="24.95" customHeight="1">
      <c r="A45" s="72"/>
    </row>
    <row r="77" spans="4:47" ht="15.95" customHeight="1">
      <c r="D77" s="192">
        <v>1</v>
      </c>
      <c r="E77" s="192"/>
      <c r="F77" s="192"/>
      <c r="G77" s="192"/>
      <c r="H77" s="192"/>
      <c r="I77" s="192"/>
      <c r="J77" s="42"/>
      <c r="K77" s="42"/>
      <c r="L77" s="42"/>
      <c r="M77" s="42">
        <v>5</v>
      </c>
      <c r="N77" s="42"/>
      <c r="O77" s="42"/>
      <c r="P77" s="42"/>
      <c r="Q77" s="42"/>
      <c r="R77" s="42"/>
      <c r="S77" s="42"/>
      <c r="T77" s="42"/>
      <c r="U77" s="192">
        <v>6</v>
      </c>
      <c r="V77" s="192"/>
      <c r="W77" s="192"/>
      <c r="X77" s="192"/>
      <c r="Y77" s="192"/>
      <c r="Z77" s="192"/>
      <c r="AA77" s="192"/>
      <c r="AB77" s="192"/>
      <c r="AC77" s="192">
        <v>7</v>
      </c>
      <c r="AD77" s="192"/>
      <c r="AE77" s="192"/>
      <c r="AF77" s="192"/>
      <c r="AG77" s="192"/>
      <c r="AH77" s="192"/>
      <c r="AI77" s="192"/>
      <c r="AJ77" s="192"/>
      <c r="AK77" s="192">
        <v>8</v>
      </c>
      <c r="AL77" s="192"/>
      <c r="AM77" s="192"/>
      <c r="AN77" s="192"/>
      <c r="AO77" s="192"/>
      <c r="AP77" s="192"/>
      <c r="AQ77" s="192"/>
      <c r="AR77" s="192"/>
      <c r="AS77" s="42"/>
      <c r="AT77" s="42"/>
      <c r="AU77" s="42"/>
    </row>
    <row r="154" spans="1:32">
      <c r="F154" s="52"/>
    </row>
    <row r="155" spans="1:32" ht="14.25" hidden="1">
      <c r="A155" s="42"/>
      <c r="B155" s="41" t="s">
        <v>19</v>
      </c>
      <c r="C155" s="41" t="s">
        <v>20</v>
      </c>
      <c r="F155" s="52"/>
    </row>
    <row r="156" spans="1:32" ht="14.25" hidden="1">
      <c r="A156" s="42"/>
      <c r="B156" s="71" t="str">
        <f>KEY!$D$2</f>
        <v>Q4</v>
      </c>
      <c r="C156" s="77">
        <v>2</v>
      </c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4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</row>
    <row r="157" spans="1:32" ht="48" hidden="1" customHeight="1">
      <c r="A157" s="42"/>
      <c r="B157" s="41" t="s">
        <v>21</v>
      </c>
      <c r="C157" s="41" t="s">
        <v>22</v>
      </c>
      <c r="D157" s="53" t="s">
        <v>23</v>
      </c>
      <c r="E157" s="53" t="s">
        <v>24</v>
      </c>
      <c r="F157" s="53" t="s">
        <v>25</v>
      </c>
      <c r="G157" s="53" t="s">
        <v>26</v>
      </c>
      <c r="H157" s="55" t="s">
        <v>3</v>
      </c>
      <c r="I157" s="55" t="s">
        <v>4</v>
      </c>
      <c r="J157" s="55" t="s">
        <v>5</v>
      </c>
      <c r="K157" s="55" t="s">
        <v>6</v>
      </c>
      <c r="L157" s="55"/>
      <c r="M157" s="55"/>
      <c r="N157" s="55"/>
      <c r="O157" s="55"/>
      <c r="P157" s="55"/>
      <c r="Q157" s="55"/>
    </row>
    <row r="158" spans="1:32" ht="14.25" hidden="1">
      <c r="A158" s="42">
        <v>1</v>
      </c>
      <c r="B158" s="41" t="str">
        <f>$B$156</f>
        <v>Q4</v>
      </c>
      <c r="C158" s="41" t="s">
        <v>10</v>
      </c>
      <c r="D158" s="53">
        <f>IF($C158="","",COUNTIFS(WORKSHEET!$E$3:$E$569,$C158,WORKSHEET!$B$3:$B$569,$B158)/2)</f>
        <v>18</v>
      </c>
      <c r="E158" s="67">
        <f>IF($C158="","",SUMIFS(E$171:E$196,$C$171:$C$196,$C158))</f>
        <v>144</v>
      </c>
      <c r="F158" s="67">
        <f>IF($C158="","",SUMIFS(F$171:F$196,$C$171:$C$196,$C158))</f>
        <v>130</v>
      </c>
      <c r="G158" s="63">
        <f>IF($C158="","",F158/E158)</f>
        <v>0.90277777777777779</v>
      </c>
      <c r="H158" s="63">
        <f>IF($C158="","",COUNTIFS(WORKSHEET!M$3:M$1077,"YES*",WORKSHEET!$B$3:$B$1077,$B158,WORKSHEET!$E$3:$E$1077,$C158)/($D158*$C$156))</f>
        <v>0.91666666666666663</v>
      </c>
      <c r="I158" s="63">
        <f>IF($C158="","",COUNTIFS(WORKSHEET!N$3:N$1077,"YES*",WORKSHEET!$B$3:$B$1077,$B158,WORKSHEET!$E$3:$E$1077,$C158)/($D158*$C$156))</f>
        <v>0.83333333333333337</v>
      </c>
      <c r="J158" s="63">
        <f>IF($C158="","",COUNTIFS(WORKSHEET!O$3:O$1077,"YES*",WORKSHEET!$B$3:$B$1077,$B158,WORKSHEET!$E$3:$E$1077,$C158)/($D158*$C$156))</f>
        <v>0.94444444444444442</v>
      </c>
      <c r="K158" s="63">
        <f>IF($C158="","",COUNTIFS(WORKSHEET!P$3:P$1077,"YES*",WORKSHEET!$B$3:$B$1077,$B158,WORKSHEET!$E$3:$E$1077,$C158)/($D158*$C$156))</f>
        <v>0.91666666666666663</v>
      </c>
      <c r="L158" s="63"/>
      <c r="M158" s="63"/>
      <c r="N158" s="63"/>
      <c r="O158" s="63"/>
      <c r="P158" s="63"/>
      <c r="Q158" s="63"/>
    </row>
    <row r="159" spans="1:32" ht="14.25" hidden="1">
      <c r="A159" s="42">
        <v>2</v>
      </c>
      <c r="B159" s="41" t="str">
        <f t="shared" ref="B159:B168" si="19">$B$156</f>
        <v>Q4</v>
      </c>
      <c r="C159" s="41" t="s">
        <v>11</v>
      </c>
      <c r="D159" s="53">
        <f>IF($C159="","",COUNTIFS(WORKSHEET!$E$3:$E$569,$C159,WORKSHEET!$B$3:$B$569,$B159)/2)</f>
        <v>2</v>
      </c>
      <c r="E159" s="67">
        <f t="shared" ref="E159:F168" si="20">IF($C159="","",SUMIFS(E$171:E$196,$C$171:$C$196,$C159))</f>
        <v>16</v>
      </c>
      <c r="F159" s="67">
        <f t="shared" si="20"/>
        <v>15</v>
      </c>
      <c r="G159" s="63">
        <f t="shared" ref="G159:G168" si="21">IF($C159="","",F159/E159)</f>
        <v>0.9375</v>
      </c>
      <c r="H159" s="63">
        <f>IF($C159="","",COUNTIFS(WORKSHEET!M$3:M$1077,"YES*",WORKSHEET!$B$3:$B$1077,$B159,WORKSHEET!$E$3:$E$1077,$C159)/($D159*$C$156))</f>
        <v>1</v>
      </c>
      <c r="I159" s="63">
        <f>IF($C159="","",COUNTIFS(WORKSHEET!N$3:N$1077,"YES*",WORKSHEET!$B$3:$B$1077,$B159,WORKSHEET!$E$3:$E$1077,$C159)/($D159*$C$156))</f>
        <v>1</v>
      </c>
      <c r="J159" s="63">
        <f>IF($C159="","",COUNTIFS(WORKSHEET!O$3:O$1077,"YES*",WORKSHEET!$B$3:$B$1077,$B159,WORKSHEET!$E$3:$E$1077,$C159)/($D159*$C$156))</f>
        <v>1</v>
      </c>
      <c r="K159" s="63">
        <f>IF($C159="","",COUNTIFS(WORKSHEET!P$3:P$1077,"YES*",WORKSHEET!$B$3:$B$1077,$B159,WORKSHEET!$E$3:$E$1077,$C159)/($D159*$C$156))</f>
        <v>0.75</v>
      </c>
      <c r="L159" s="63"/>
      <c r="M159" s="63"/>
      <c r="N159" s="63"/>
      <c r="O159" s="63"/>
      <c r="P159" s="63"/>
      <c r="Q159" s="63"/>
    </row>
    <row r="160" spans="1:32" ht="14.25" hidden="1">
      <c r="A160" s="42">
        <v>3</v>
      </c>
      <c r="B160" s="41" t="str">
        <f t="shared" si="19"/>
        <v>Q4</v>
      </c>
      <c r="C160" s="41" t="s">
        <v>12</v>
      </c>
      <c r="D160" s="53">
        <f>IF($C160="","",COUNTIFS(WORKSHEET!$E$3:$E$569,$C160,WORKSHEET!$B$3:$B$569,$B160)/2)</f>
        <v>3</v>
      </c>
      <c r="E160" s="67">
        <f t="shared" si="20"/>
        <v>24</v>
      </c>
      <c r="F160" s="67">
        <f t="shared" si="20"/>
        <v>18</v>
      </c>
      <c r="G160" s="63">
        <f t="shared" si="21"/>
        <v>0.75</v>
      </c>
      <c r="H160" s="63">
        <f>IF($C160="","",COUNTIFS(WORKSHEET!M$3:M$1077,"YES*",WORKSHEET!$B$3:$B$1077,$B160,WORKSHEET!$E$3:$E$1077,$C160)/($D160*$C$156))</f>
        <v>0.83333333333333337</v>
      </c>
      <c r="I160" s="63">
        <f>IF($C160="","",COUNTIFS(WORKSHEET!N$3:N$1077,"YES*",WORKSHEET!$B$3:$B$1077,$B160,WORKSHEET!$E$3:$E$1077,$C160)/($D160*$C$156))</f>
        <v>0.83333333333333337</v>
      </c>
      <c r="J160" s="63">
        <f>IF($C160="","",COUNTIFS(WORKSHEET!O$3:O$1077,"YES*",WORKSHEET!$B$3:$B$1077,$B160,WORKSHEET!$E$3:$E$1077,$C160)/($D160*$C$156))</f>
        <v>1</v>
      </c>
      <c r="K160" s="63">
        <f>IF($C160="","",COUNTIFS(WORKSHEET!P$3:P$1077,"YES*",WORKSHEET!$B$3:$B$1077,$B160,WORKSHEET!$E$3:$E$1077,$C160)/($D160*$C$156))</f>
        <v>0.33333333333333331</v>
      </c>
      <c r="L160" s="63"/>
      <c r="M160" s="63"/>
      <c r="N160" s="63"/>
      <c r="O160" s="63"/>
      <c r="P160" s="63"/>
      <c r="Q160" s="63"/>
    </row>
    <row r="161" spans="1:17" ht="14.25" hidden="1">
      <c r="A161" s="42">
        <v>4</v>
      </c>
      <c r="B161" s="41" t="str">
        <f t="shared" si="19"/>
        <v>Q4</v>
      </c>
      <c r="C161" s="41" t="s">
        <v>13</v>
      </c>
      <c r="D161" s="53">
        <f>IF($C161="","",COUNTIFS(WORKSHEET!$E$3:$E$569,$C161,WORKSHEET!$B$3:$B$569,$B161)/2)</f>
        <v>8</v>
      </c>
      <c r="E161" s="67">
        <f t="shared" si="20"/>
        <v>64</v>
      </c>
      <c r="F161" s="67">
        <f t="shared" si="20"/>
        <v>57</v>
      </c>
      <c r="G161" s="63">
        <f t="shared" si="21"/>
        <v>0.890625</v>
      </c>
      <c r="H161" s="63">
        <f>IF($C161="","",COUNTIFS(WORKSHEET!M$3:M$1077,"YES*",WORKSHEET!$B$3:$B$1077,$B161,WORKSHEET!$E$3:$E$1077,$C161)/($D161*$C$156))</f>
        <v>0.8125</v>
      </c>
      <c r="I161" s="63">
        <f>IF($C161="","",COUNTIFS(WORKSHEET!N$3:N$1077,"YES*",WORKSHEET!$B$3:$B$1077,$B161,WORKSHEET!$E$3:$E$1077,$C161)/($D161*$C$156))</f>
        <v>0.875</v>
      </c>
      <c r="J161" s="63">
        <f>IF($C161="","",COUNTIFS(WORKSHEET!O$3:O$1077,"YES*",WORKSHEET!$B$3:$B$1077,$B161,WORKSHEET!$E$3:$E$1077,$C161)/($D161*$C$156))</f>
        <v>0.9375</v>
      </c>
      <c r="K161" s="63">
        <f>IF($C161="","",COUNTIFS(WORKSHEET!P$3:P$1077,"YES*",WORKSHEET!$B$3:$B$1077,$B161,WORKSHEET!$E$3:$E$1077,$C161)/($D161*$C$156))</f>
        <v>0.9375</v>
      </c>
      <c r="L161" s="63"/>
      <c r="M161" s="63"/>
      <c r="N161" s="63"/>
      <c r="O161" s="63"/>
      <c r="P161" s="63"/>
      <c r="Q161" s="63"/>
    </row>
    <row r="162" spans="1:17" ht="14.25" hidden="1">
      <c r="A162" s="42">
        <v>5</v>
      </c>
      <c r="B162" s="41" t="str">
        <f t="shared" si="19"/>
        <v>Q4</v>
      </c>
      <c r="C162" s="41" t="s">
        <v>14</v>
      </c>
      <c r="D162" s="53">
        <f>IF($C162="","",COUNTIFS(WORKSHEET!$E$3:$E$569,$C162,WORKSHEET!$B$3:$B$569,$B162)/2)</f>
        <v>9</v>
      </c>
      <c r="E162" s="67">
        <f t="shared" si="20"/>
        <v>72</v>
      </c>
      <c r="F162" s="67">
        <f t="shared" si="20"/>
        <v>68</v>
      </c>
      <c r="G162" s="63">
        <f t="shared" si="21"/>
        <v>0.94444444444444442</v>
      </c>
      <c r="H162" s="63">
        <f>IF($C162="","",COUNTIFS(WORKSHEET!M$3:M$1077,"YES*",WORKSHEET!$B$3:$B$1077,$B162,WORKSHEET!$E$3:$E$1077,$C162)/($D162*$C$156))</f>
        <v>1</v>
      </c>
      <c r="I162" s="63">
        <f>IF($C162="","",COUNTIFS(WORKSHEET!N$3:N$1077,"YES*",WORKSHEET!$B$3:$B$1077,$B162,WORKSHEET!$E$3:$E$1077,$C162)/($D162*$C$156))</f>
        <v>0.94444444444444442</v>
      </c>
      <c r="J162" s="63">
        <f>IF($C162="","",COUNTIFS(WORKSHEET!O$3:O$1077,"YES*",WORKSHEET!$B$3:$B$1077,$B162,WORKSHEET!$E$3:$E$1077,$C162)/($D162*$C$156))</f>
        <v>0.94444444444444442</v>
      </c>
      <c r="K162" s="63">
        <f>IF($C162="","",COUNTIFS(WORKSHEET!P$3:P$1077,"YES*",WORKSHEET!$B$3:$B$1077,$B162,WORKSHEET!$E$3:$E$1077,$C162)/($D162*$C$156))</f>
        <v>0.88888888888888884</v>
      </c>
      <c r="L162" s="63"/>
      <c r="M162" s="63"/>
      <c r="N162" s="63"/>
      <c r="O162" s="63"/>
      <c r="P162" s="63"/>
      <c r="Q162" s="63"/>
    </row>
    <row r="163" spans="1:17" ht="14.25" hidden="1">
      <c r="A163" s="42" t="s">
        <v>1</v>
      </c>
      <c r="B163" s="41" t="str">
        <f t="shared" si="19"/>
        <v>Q4</v>
      </c>
      <c r="C163" s="41" t="s">
        <v>15</v>
      </c>
      <c r="D163" s="53">
        <f>IF($C163="","",COUNTIFS(WORKSHEET!$E$3:$E$569,$C163,WORKSHEET!$B$3:$B$569,$B163)/2)</f>
        <v>10</v>
      </c>
      <c r="E163" s="67">
        <f t="shared" si="20"/>
        <v>80</v>
      </c>
      <c r="F163" s="67">
        <f t="shared" si="20"/>
        <v>72</v>
      </c>
      <c r="G163" s="63">
        <f t="shared" si="21"/>
        <v>0.9</v>
      </c>
      <c r="H163" s="63">
        <f>IF($C163="","",COUNTIFS(WORKSHEET!M$3:M$1077,"YES*",WORKSHEET!$B$3:$B$1077,$B163,WORKSHEET!$E$3:$E$1077,$C163)/($D163*$C$156))</f>
        <v>0.95</v>
      </c>
      <c r="I163" s="63">
        <f>IF($C163="","",COUNTIFS(WORKSHEET!N$3:N$1077,"YES*",WORKSHEET!$B$3:$B$1077,$B163,WORKSHEET!$E$3:$E$1077,$C163)/($D163*$C$156))</f>
        <v>0.8</v>
      </c>
      <c r="J163" s="63">
        <f>IF($C163="","",COUNTIFS(WORKSHEET!O$3:O$1077,"YES*",WORKSHEET!$B$3:$B$1077,$B163,WORKSHEET!$E$3:$E$1077,$C163)/($D163*$C$156))</f>
        <v>0.95</v>
      </c>
      <c r="K163" s="63">
        <f>IF($C163="","",COUNTIFS(WORKSHEET!P$3:P$1077,"YES*",WORKSHEET!$B$3:$B$1077,$B163,WORKSHEET!$E$3:$E$1077,$C163)/($D163*$C$156))</f>
        <v>0.9</v>
      </c>
      <c r="L163" s="63"/>
      <c r="M163" s="63"/>
      <c r="N163" s="63"/>
      <c r="O163" s="63"/>
      <c r="P163" s="63"/>
      <c r="Q163" s="63"/>
    </row>
    <row r="164" spans="1:17" ht="14.25" hidden="1">
      <c r="A164" s="42" t="s">
        <v>1</v>
      </c>
      <c r="B164" s="41" t="str">
        <f t="shared" si="19"/>
        <v>Q4</v>
      </c>
      <c r="C164" s="41" t="s">
        <v>16</v>
      </c>
      <c r="D164" s="53">
        <f>IF($C164="","",COUNTIFS(WORKSHEET!$E$3:$E$569,$C164,WORKSHEET!$B$3:$B$569,$B164)/2)</f>
        <v>11</v>
      </c>
      <c r="E164" s="67">
        <f t="shared" si="20"/>
        <v>88</v>
      </c>
      <c r="F164" s="67">
        <f t="shared" si="20"/>
        <v>72</v>
      </c>
      <c r="G164" s="63">
        <f t="shared" si="21"/>
        <v>0.81818181818181823</v>
      </c>
      <c r="H164" s="63">
        <f>IF($C164="","",COUNTIFS(WORKSHEET!M$3:M$1077,"YES*",WORKSHEET!$B$3:$B$1077,$B164,WORKSHEET!$E$3:$E$1077,$C164)/($D164*$C$156))</f>
        <v>0.86363636363636365</v>
      </c>
      <c r="I164" s="63">
        <f>IF($C164="","",COUNTIFS(WORKSHEET!N$3:N$1077,"YES*",WORKSHEET!$B$3:$B$1077,$B164,WORKSHEET!$E$3:$E$1077,$C164)/($D164*$C$156))</f>
        <v>0.68181818181818177</v>
      </c>
      <c r="J164" s="63">
        <f>IF($C164="","",COUNTIFS(WORKSHEET!O$3:O$1077,"YES*",WORKSHEET!$B$3:$B$1077,$B164,WORKSHEET!$E$3:$E$1077,$C164)/($D164*$C$156))</f>
        <v>0.90909090909090906</v>
      </c>
      <c r="K164" s="63">
        <f>IF($C164="","",COUNTIFS(WORKSHEET!P$3:P$1077,"YES*",WORKSHEET!$B$3:$B$1077,$B164,WORKSHEET!$E$3:$E$1077,$C164)/($D164*$C$156))</f>
        <v>0.81818181818181823</v>
      </c>
      <c r="L164" s="63"/>
      <c r="M164" s="63"/>
      <c r="N164" s="63"/>
      <c r="O164" s="63"/>
      <c r="P164" s="63"/>
      <c r="Q164" s="63"/>
    </row>
    <row r="165" spans="1:17" ht="14.25" hidden="1">
      <c r="A165" s="42" t="s">
        <v>1</v>
      </c>
      <c r="B165" s="41" t="str">
        <f t="shared" si="19"/>
        <v>Q4</v>
      </c>
      <c r="C165" s="41" t="s">
        <v>17</v>
      </c>
      <c r="D165" s="53">
        <f>IF($C165="","",COUNTIFS(WORKSHEET!$E$3:$E$569,$C165,WORKSHEET!$B$3:$B$569,$B165)/2)</f>
        <v>1</v>
      </c>
      <c r="E165" s="67">
        <f t="shared" si="20"/>
        <v>8</v>
      </c>
      <c r="F165" s="67">
        <f t="shared" si="20"/>
        <v>6</v>
      </c>
      <c r="G165" s="63">
        <f t="shared" si="21"/>
        <v>0.75</v>
      </c>
      <c r="H165" s="63">
        <f>IF($C165="","",COUNTIFS(WORKSHEET!M$3:M$1077,"YES*",WORKSHEET!$B$3:$B$1077,$B165,WORKSHEET!$E$3:$E$1077,$C165)/($D165*$C$156))</f>
        <v>0</v>
      </c>
      <c r="I165" s="63">
        <f>IF($C165="","",COUNTIFS(WORKSHEET!N$3:N$1077,"YES*",WORKSHEET!$B$3:$B$1077,$B165,WORKSHEET!$E$3:$E$1077,$C165)/($D165*$C$156))</f>
        <v>1</v>
      </c>
      <c r="J165" s="63">
        <f>IF($C165="","",COUNTIFS(WORKSHEET!O$3:O$1077,"YES*",WORKSHEET!$B$3:$B$1077,$B165,WORKSHEET!$E$3:$E$1077,$C165)/($D165*$C$156))</f>
        <v>1</v>
      </c>
      <c r="K165" s="63">
        <f>IF($C165="","",COUNTIFS(WORKSHEET!P$3:P$1077,"YES*",WORKSHEET!$B$3:$B$1077,$B165,WORKSHEET!$E$3:$E$1077,$C165)/($D165*$C$156))</f>
        <v>1</v>
      </c>
      <c r="L165" s="63"/>
      <c r="M165" s="63"/>
      <c r="N165" s="63"/>
      <c r="O165" s="63"/>
      <c r="P165" s="63"/>
      <c r="Q165" s="63"/>
    </row>
    <row r="166" spans="1:17" ht="14.25" hidden="1">
      <c r="A166" s="42" t="s">
        <v>1</v>
      </c>
      <c r="B166" s="41" t="str">
        <f t="shared" si="19"/>
        <v>Q4</v>
      </c>
      <c r="D166" s="53" t="str">
        <f>IF($C166="","",COUNTIFS(WORKSHEET!$E$3:$E$569,$C166,WORKSHEET!$B$3:$B$569,$B166)/2)</f>
        <v/>
      </c>
      <c r="E166" s="67" t="str">
        <f t="shared" si="20"/>
        <v/>
      </c>
      <c r="F166" s="67" t="str">
        <f t="shared" si="20"/>
        <v/>
      </c>
      <c r="G166" s="63" t="str">
        <f t="shared" si="21"/>
        <v/>
      </c>
      <c r="H166" s="63" t="str">
        <f>IF($C166="","",COUNTIFS(WORKSHEET!M$3:M$1077,"YES*",WORKSHEET!$B$3:$B$1077,$B166,WORKSHEET!$E$3:$E$1077,$C166)/($D166*$C$156))</f>
        <v/>
      </c>
      <c r="I166" s="63" t="str">
        <f>IF($C166="","",COUNTIFS(WORKSHEET!N$3:N$1077,"YES*",WORKSHEET!$B$3:$B$1077,$B166,WORKSHEET!$E$3:$E$1077,$C166)/($D166*$C$156))</f>
        <v/>
      </c>
      <c r="J166" s="63" t="str">
        <f>IF($C166="","",COUNTIFS(WORKSHEET!O$3:O$1077,"YES*",WORKSHEET!$B$3:$B$1077,$B166,WORKSHEET!$E$3:$E$1077,$C166)/($D166*$C$156))</f>
        <v/>
      </c>
      <c r="K166" s="63" t="str">
        <f>IF($C166="","",COUNTIFS(WORKSHEET!P$3:P$1077,"YES*",WORKSHEET!$B$3:$B$1077,$B166,WORKSHEET!$E$3:$E$1077,$C166)/($D166*$C$156))</f>
        <v/>
      </c>
      <c r="L166" s="63"/>
      <c r="M166" s="63"/>
      <c r="N166" s="63"/>
      <c r="O166" s="63"/>
      <c r="P166" s="63"/>
      <c r="Q166" s="63"/>
    </row>
    <row r="167" spans="1:17" ht="14.25" hidden="1">
      <c r="A167" s="42" t="s">
        <v>1</v>
      </c>
      <c r="B167" s="41" t="str">
        <f t="shared" si="19"/>
        <v>Q4</v>
      </c>
      <c r="D167" s="53" t="str">
        <f>IF($C167="","",COUNTIFS(WORKSHEET!$E$3:$E$569,$C167,WORKSHEET!$B$3:$B$569,$B167)/2)</f>
        <v/>
      </c>
      <c r="E167" s="67" t="str">
        <f t="shared" si="20"/>
        <v/>
      </c>
      <c r="F167" s="67" t="str">
        <f t="shared" si="20"/>
        <v/>
      </c>
      <c r="G167" s="63" t="str">
        <f t="shared" si="21"/>
        <v/>
      </c>
      <c r="H167" s="63" t="str">
        <f>IF($C167="","",COUNTIFS(WORKSHEET!M$3:M$1077,"YES*",WORKSHEET!$B$3:$B$1077,$B167,WORKSHEET!$E$3:$E$1077,$C167)/($D167*$C$156))</f>
        <v/>
      </c>
      <c r="I167" s="63" t="str">
        <f>IF($C167="","",COUNTIFS(WORKSHEET!N$3:N$1077,"YES*",WORKSHEET!$B$3:$B$1077,$B167,WORKSHEET!$E$3:$E$1077,$C167)/($D167*$C$156))</f>
        <v/>
      </c>
      <c r="J167" s="63" t="str">
        <f>IF($C167="","",COUNTIFS(WORKSHEET!O$3:O$1077,"YES*",WORKSHEET!$B$3:$B$1077,$B167,WORKSHEET!$E$3:$E$1077,$C167)/($D167*$C$156))</f>
        <v/>
      </c>
      <c r="K167" s="63" t="str">
        <f>IF($C167="","",COUNTIFS(WORKSHEET!P$3:P$1077,"YES*",WORKSHEET!$B$3:$B$1077,$B167,WORKSHEET!$E$3:$E$1077,$C167)/($D167*$C$156))</f>
        <v/>
      </c>
      <c r="L167" s="63"/>
      <c r="M167" s="63"/>
      <c r="N167" s="63"/>
      <c r="O167" s="63"/>
      <c r="P167" s="63"/>
      <c r="Q167" s="63"/>
    </row>
    <row r="168" spans="1:17" s="56" customFormat="1" ht="15.75" hidden="1">
      <c r="A168" s="76" t="s">
        <v>27</v>
      </c>
      <c r="B168" s="56" t="str">
        <f t="shared" si="19"/>
        <v>Q4</v>
      </c>
      <c r="C168" s="56" t="s">
        <v>28</v>
      </c>
      <c r="D168" s="64">
        <f>COUNTIFS(WORKSHEET!$J$3:$J$1077,"*",WORKSHEET!$B$3:$B$1077,$B168)</f>
        <v>128</v>
      </c>
      <c r="E168" s="68">
        <f t="shared" si="20"/>
        <v>512</v>
      </c>
      <c r="F168" s="68">
        <f t="shared" si="20"/>
        <v>453</v>
      </c>
      <c r="G168" s="66">
        <f t="shared" si="21"/>
        <v>0.884765625</v>
      </c>
      <c r="H168" s="66">
        <f>IF($C168="","",COUNTIFS(WORKSHEET!M$3:M$1077,"YES*",WORKSHEET!$B$3:$B$1077,$B168)/($D168*$C$156))</f>
        <v>0.44921875</v>
      </c>
      <c r="I168" s="66">
        <f>IF($C168="","",COUNTIFS(WORKSHEET!N$3:N$1077,"YES*",WORKSHEET!$B$3:$B$1077,$B168)/($D168*$C$156))</f>
        <v>0.41796875</v>
      </c>
      <c r="J168" s="66">
        <f>IF($C168="","",COUNTIFS(WORKSHEET!O$3:O$1077,"YES*",WORKSHEET!$B$3:$B$1077,$B168)/($D168*$C$156))</f>
        <v>0.47265625</v>
      </c>
      <c r="K168" s="66">
        <f>IF($C168="","",COUNTIFS(WORKSHEET!P$3:P$1077,"YES*",WORKSHEET!$B$3:$B$1077,$B168)/($D168*$C$156))</f>
        <v>0.4296875</v>
      </c>
      <c r="L168" s="66"/>
      <c r="M168" s="66"/>
      <c r="N168" s="66"/>
      <c r="O168" s="66"/>
      <c r="P168" s="66"/>
      <c r="Q168" s="66"/>
    </row>
    <row r="169" spans="1:17" hidden="1">
      <c r="H169" s="118"/>
      <c r="I169" s="118"/>
      <c r="J169" s="118"/>
      <c r="K169" s="118"/>
    </row>
    <row r="170" spans="1:17" ht="48" hidden="1" customHeight="1">
      <c r="A170" s="42"/>
      <c r="B170" s="41" t="s">
        <v>21</v>
      </c>
      <c r="C170" s="41" t="s">
        <v>22</v>
      </c>
      <c r="D170" s="53" t="s">
        <v>23</v>
      </c>
      <c r="E170" s="53" t="s">
        <v>24</v>
      </c>
      <c r="F170" s="53" t="s">
        <v>25</v>
      </c>
      <c r="G170" s="53" t="s">
        <v>26</v>
      </c>
      <c r="H170" s="55" t="s">
        <v>3</v>
      </c>
      <c r="I170" s="55" t="s">
        <v>4</v>
      </c>
      <c r="J170" s="55" t="s">
        <v>5</v>
      </c>
      <c r="K170" s="55" t="s">
        <v>6</v>
      </c>
      <c r="L170" s="55"/>
      <c r="M170" s="55"/>
      <c r="N170" s="55"/>
      <c r="O170" s="55"/>
      <c r="P170" s="55"/>
      <c r="Q170" s="55"/>
    </row>
    <row r="171" spans="1:17" ht="14.25" hidden="1">
      <c r="A171" s="42">
        <v>1</v>
      </c>
      <c r="B171" s="41" t="str">
        <f>$B$156&amp;" Shop 1"</f>
        <v>Q4 Shop 1</v>
      </c>
      <c r="C171" s="41" t="str">
        <f>IF(C158="","",C158)</f>
        <v>Arizona</v>
      </c>
      <c r="D171" s="53">
        <f>IF($C171="","",COUNTIFS(WORKSHEET!$E$3:$E$569,$C171,WORKSHEET!$A$3:$A$569,$B171))</f>
        <v>18</v>
      </c>
      <c r="E171" s="67">
        <f>IF($C171="","",SUMIFS(WORKSHEET!H$3:H$1077,WORKSHEET!$A$3:$A$1077,$B171,WORKSHEET!$E$3:$E$1077,$C171))</f>
        <v>72</v>
      </c>
      <c r="F171" s="67">
        <f>IF($C171="","",SUMIFS(WORKSHEET!I$3:I$1077,WORKSHEET!$A$3:$A$1077,$B171,WORKSHEET!$E$3:$E$1077,$C171))</f>
        <v>64</v>
      </c>
      <c r="G171" s="63">
        <f>IF($C171="","",F171/E171)</f>
        <v>0.88888888888888884</v>
      </c>
      <c r="H171" s="63">
        <f>IF($C171="","",COUNTIFS(WORKSHEET!M$3:M$1077,"YES*",WORKSHEET!$A$3:$A$1077,$B171,WORKSHEET!$E$3:$E$1077,$C171)/$D171)</f>
        <v>0.88888888888888884</v>
      </c>
      <c r="I171" s="63">
        <f>IF($C171="","",COUNTIFS(WORKSHEET!N$3:N$1077,"YES*",WORKSHEET!$A$3:$A$1077,$B171,WORKSHEET!$E$3:$E$1077,$C171)/$D171)</f>
        <v>0.77777777777777779</v>
      </c>
      <c r="J171" s="63">
        <f>IF($C171="","",COUNTIFS(WORKSHEET!O$3:O$1077,"YES*",WORKSHEET!$A$3:$A$1077,$B171,WORKSHEET!$E$3:$E$1077,$C171)/$D171)</f>
        <v>0.94444444444444442</v>
      </c>
      <c r="K171" s="63">
        <f>IF($C171="","",COUNTIFS(WORKSHEET!P$3:P$1077,"YES*",WORKSHEET!$A$3:$A$1077,$B171,WORKSHEET!$E$3:$E$1077,$C171)/$D171)</f>
        <v>0.94444444444444442</v>
      </c>
      <c r="L171" s="63"/>
      <c r="M171" s="63"/>
      <c r="N171" s="63"/>
      <c r="O171" s="63"/>
      <c r="P171" s="63"/>
      <c r="Q171" s="63"/>
    </row>
    <row r="172" spans="1:17" ht="14.25" hidden="1">
      <c r="A172" s="42">
        <v>2</v>
      </c>
      <c r="B172" s="41" t="str">
        <f t="shared" ref="B172:B181" si="22">$B$156&amp;" Shop 1"</f>
        <v>Q4 Shop 1</v>
      </c>
      <c r="C172" s="41" t="str">
        <f t="shared" ref="C172:C180" si="23">IF(C159="","",C159)</f>
        <v>Indiana</v>
      </c>
      <c r="D172" s="53">
        <f>IF($C172="","",COUNTIFS(WORKSHEET!$E$3:$E$569,$C172,WORKSHEET!$A$3:$A$569,$B172))</f>
        <v>2</v>
      </c>
      <c r="E172" s="67">
        <f>IF($C172="","",SUMIFS(WORKSHEET!H$3:H$1077,WORKSHEET!$A$3:$A$1077,$B172,WORKSHEET!$E$3:$E$1077,$C172))</f>
        <v>8</v>
      </c>
      <c r="F172" s="67">
        <f>IF($C172="","",SUMIFS(WORKSHEET!I$3:I$1077,WORKSHEET!$A$3:$A$1077,$B172,WORKSHEET!$E$3:$E$1077,$C172))</f>
        <v>7</v>
      </c>
      <c r="G172" s="63">
        <f t="shared" ref="G172:G181" si="24">IF($C172="","",F172/E172)</f>
        <v>0.875</v>
      </c>
      <c r="H172" s="63">
        <f>IF($C172="","",COUNTIFS(WORKSHEET!M$3:M$1077,"YES*",WORKSHEET!$A$3:$A$1077,$B172,WORKSHEET!$E$3:$E$1077,$C172)/$D172)</f>
        <v>1</v>
      </c>
      <c r="I172" s="63">
        <f>IF($C172="","",COUNTIFS(WORKSHEET!N$3:N$1077,"YES*",WORKSHEET!$A$3:$A$1077,$B172,WORKSHEET!$E$3:$E$1077,$C172)/$D172)</f>
        <v>1</v>
      </c>
      <c r="J172" s="63">
        <f>IF($C172="","",COUNTIFS(WORKSHEET!O$3:O$1077,"YES*",WORKSHEET!$A$3:$A$1077,$B172,WORKSHEET!$E$3:$E$1077,$C172)/$D172)</f>
        <v>1</v>
      </c>
      <c r="K172" s="63">
        <f>IF($C172="","",COUNTIFS(WORKSHEET!P$3:P$1077,"YES*",WORKSHEET!$A$3:$A$1077,$B172,WORKSHEET!$E$3:$E$1077,$C172)/$D172)</f>
        <v>0.5</v>
      </c>
      <c r="L172" s="63"/>
      <c r="M172" s="63"/>
      <c r="N172" s="63"/>
      <c r="O172" s="63"/>
      <c r="P172" s="63"/>
      <c r="Q172" s="63"/>
    </row>
    <row r="173" spans="1:17" ht="14.25" hidden="1">
      <c r="A173" s="42">
        <v>3</v>
      </c>
      <c r="B173" s="41" t="str">
        <f t="shared" si="22"/>
        <v>Q4 Shop 1</v>
      </c>
      <c r="C173" s="41" t="str">
        <f t="shared" si="23"/>
        <v>Michigan &amp; Minnesota</v>
      </c>
      <c r="D173" s="53">
        <f>IF($C173="","",COUNTIFS(WORKSHEET!$E$3:$E$569,$C173,WORKSHEET!$A$3:$A$569,$B173))</f>
        <v>3</v>
      </c>
      <c r="E173" s="67">
        <f>IF($C173="","",SUMIFS(WORKSHEET!H$3:H$1077,WORKSHEET!$A$3:$A$1077,$B173,WORKSHEET!$E$3:$E$1077,$C173))</f>
        <v>12</v>
      </c>
      <c r="F173" s="67">
        <f>IF($C173="","",SUMIFS(WORKSHEET!I$3:I$1077,WORKSHEET!$A$3:$A$1077,$B173,WORKSHEET!$E$3:$E$1077,$C173))</f>
        <v>10</v>
      </c>
      <c r="G173" s="63">
        <f t="shared" si="24"/>
        <v>0.83333333333333337</v>
      </c>
      <c r="H173" s="63">
        <f>IF($C173="","",COUNTIFS(WORKSHEET!M$3:M$1077,"YES*",WORKSHEET!$A$3:$A$1077,$B173,WORKSHEET!$E$3:$E$1077,$C173)/$D173)</f>
        <v>1</v>
      </c>
      <c r="I173" s="63">
        <f>IF($C173="","",COUNTIFS(WORKSHEET!N$3:N$1077,"YES*",WORKSHEET!$A$3:$A$1077,$B173,WORKSHEET!$E$3:$E$1077,$C173)/$D173)</f>
        <v>1</v>
      </c>
      <c r="J173" s="63">
        <f>IF($C173="","",COUNTIFS(WORKSHEET!O$3:O$1077,"YES*",WORKSHEET!$A$3:$A$1077,$B173,WORKSHEET!$E$3:$E$1077,$C173)/$D173)</f>
        <v>1</v>
      </c>
      <c r="K173" s="63">
        <f>IF($C173="","",COUNTIFS(WORKSHEET!P$3:P$1077,"YES*",WORKSHEET!$A$3:$A$1077,$B173,WORKSHEET!$E$3:$E$1077,$C173)/$D173)</f>
        <v>0.33333333333333331</v>
      </c>
      <c r="L173" s="63"/>
      <c r="M173" s="63"/>
      <c r="N173" s="63"/>
      <c r="O173" s="63"/>
      <c r="P173" s="63"/>
      <c r="Q173" s="63"/>
    </row>
    <row r="174" spans="1:17" ht="14.25" hidden="1">
      <c r="A174" s="42">
        <v>4</v>
      </c>
      <c r="B174" s="41" t="str">
        <f t="shared" si="22"/>
        <v>Q4 Shop 1</v>
      </c>
      <c r="C174" s="41" t="str">
        <f t="shared" si="23"/>
        <v>Northern California</v>
      </c>
      <c r="D174" s="53">
        <f>IF($C174="","",COUNTIFS(WORKSHEET!$E$3:$E$569,$C174,WORKSHEET!$A$3:$A$569,$B174))</f>
        <v>8</v>
      </c>
      <c r="E174" s="67">
        <f>IF($C174="","",SUMIFS(WORKSHEET!H$3:H$1077,WORKSHEET!$A$3:$A$1077,$B174,WORKSHEET!$E$3:$E$1077,$C174))</f>
        <v>32</v>
      </c>
      <c r="F174" s="67">
        <f>IF($C174="","",SUMIFS(WORKSHEET!I$3:I$1077,WORKSHEET!$A$3:$A$1077,$B174,WORKSHEET!$E$3:$E$1077,$C174))</f>
        <v>28</v>
      </c>
      <c r="G174" s="63">
        <f t="shared" si="24"/>
        <v>0.875</v>
      </c>
      <c r="H174" s="63">
        <f>IF($C174="","",COUNTIFS(WORKSHEET!M$3:M$1077,"YES*",WORKSHEET!$A$3:$A$1077,$B174,WORKSHEET!$E$3:$E$1077,$C174)/$D174)</f>
        <v>0.75</v>
      </c>
      <c r="I174" s="63">
        <f>IF($C174="","",COUNTIFS(WORKSHEET!N$3:N$1077,"YES*",WORKSHEET!$A$3:$A$1077,$B174,WORKSHEET!$E$3:$E$1077,$C174)/$D174)</f>
        <v>0.75</v>
      </c>
      <c r="J174" s="63">
        <f>IF($C174="","",COUNTIFS(WORKSHEET!O$3:O$1077,"YES*",WORKSHEET!$A$3:$A$1077,$B174,WORKSHEET!$E$3:$E$1077,$C174)/$D174)</f>
        <v>1</v>
      </c>
      <c r="K174" s="63">
        <f>IF($C174="","",COUNTIFS(WORKSHEET!P$3:P$1077,"YES*",WORKSHEET!$A$3:$A$1077,$B174,WORKSHEET!$E$3:$E$1077,$C174)/$D174)</f>
        <v>1</v>
      </c>
      <c r="L174" s="63"/>
      <c r="M174" s="63"/>
      <c r="N174" s="63"/>
      <c r="O174" s="63"/>
      <c r="P174" s="63"/>
      <c r="Q174" s="63"/>
    </row>
    <row r="175" spans="1:17" ht="14.25" hidden="1">
      <c r="A175" s="42">
        <v>5</v>
      </c>
      <c r="B175" s="41" t="str">
        <f t="shared" si="22"/>
        <v>Q4 Shop 1</v>
      </c>
      <c r="C175" s="41" t="str">
        <f t="shared" si="23"/>
        <v>Orange County</v>
      </c>
      <c r="D175" s="53">
        <f>IF($C175="","",COUNTIFS(WORKSHEET!$E$3:$E$569,$C175,WORKSHEET!$A$3:$A$569,$B175))</f>
        <v>9</v>
      </c>
      <c r="E175" s="67">
        <f>IF($C175="","",SUMIFS(WORKSHEET!H$3:H$1077,WORKSHEET!$A$3:$A$1077,$B175,WORKSHEET!$E$3:$E$1077,$C175))</f>
        <v>36</v>
      </c>
      <c r="F175" s="67">
        <f>IF($C175="","",SUMIFS(WORKSHEET!I$3:I$1077,WORKSHEET!$A$3:$A$1077,$B175,WORKSHEET!$E$3:$E$1077,$C175))</f>
        <v>35</v>
      </c>
      <c r="G175" s="63">
        <f t="shared" si="24"/>
        <v>0.97222222222222221</v>
      </c>
      <c r="H175" s="63">
        <f>IF($C175="","",COUNTIFS(WORKSHEET!M$3:M$1077,"YES*",WORKSHEET!$A$3:$A$1077,$B175,WORKSHEET!$E$3:$E$1077,$C175)/$D175)</f>
        <v>1</v>
      </c>
      <c r="I175" s="63">
        <f>IF($C175="","",COUNTIFS(WORKSHEET!N$3:N$1077,"YES*",WORKSHEET!$A$3:$A$1077,$B175,WORKSHEET!$E$3:$E$1077,$C175)/$D175)</f>
        <v>1</v>
      </c>
      <c r="J175" s="63">
        <f>IF($C175="","",COUNTIFS(WORKSHEET!O$3:O$1077,"YES*",WORKSHEET!$A$3:$A$1077,$B175,WORKSHEET!$E$3:$E$1077,$C175)/$D175)</f>
        <v>1</v>
      </c>
      <c r="K175" s="63">
        <f>IF($C175="","",COUNTIFS(WORKSHEET!P$3:P$1077,"YES*",WORKSHEET!$A$3:$A$1077,$B175,WORKSHEET!$E$3:$E$1077,$C175)/$D175)</f>
        <v>0.88888888888888884</v>
      </c>
      <c r="L175" s="63"/>
      <c r="M175" s="63"/>
      <c r="N175" s="63"/>
      <c r="O175" s="63"/>
      <c r="P175" s="63"/>
      <c r="Q175" s="63"/>
    </row>
    <row r="176" spans="1:17" ht="14.25" hidden="1">
      <c r="A176" s="42" t="s">
        <v>1</v>
      </c>
      <c r="B176" s="41" t="str">
        <f t="shared" si="22"/>
        <v>Q4 Shop 1</v>
      </c>
      <c r="C176" s="41" t="str">
        <f t="shared" si="23"/>
        <v>Southern California</v>
      </c>
      <c r="D176" s="53">
        <f>IF($C176="","",COUNTIFS(WORKSHEET!$E$3:$E$569,$C176,WORKSHEET!$A$3:$A$569,$B176))</f>
        <v>10</v>
      </c>
      <c r="E176" s="67">
        <f>IF($C176="","",SUMIFS(WORKSHEET!H$3:H$1077,WORKSHEET!$A$3:$A$1077,$B176,WORKSHEET!$E$3:$E$1077,$C176))</f>
        <v>40</v>
      </c>
      <c r="F176" s="67">
        <f>IF($C176="","",SUMIFS(WORKSHEET!I$3:I$1077,WORKSHEET!$A$3:$A$1077,$B176,WORKSHEET!$E$3:$E$1077,$C176))</f>
        <v>37</v>
      </c>
      <c r="G176" s="63">
        <f t="shared" si="24"/>
        <v>0.92500000000000004</v>
      </c>
      <c r="H176" s="63">
        <f>IF($C176="","",COUNTIFS(WORKSHEET!M$3:M$1077,"YES*",WORKSHEET!$A$3:$A$1077,$B176,WORKSHEET!$E$3:$E$1077,$C176)/$D176)</f>
        <v>1</v>
      </c>
      <c r="I176" s="63">
        <f>IF($C176="","",COUNTIFS(WORKSHEET!N$3:N$1077,"YES*",WORKSHEET!$A$3:$A$1077,$B176,WORKSHEET!$E$3:$E$1077,$C176)/$D176)</f>
        <v>0.8</v>
      </c>
      <c r="J176" s="63">
        <f>IF($C176="","",COUNTIFS(WORKSHEET!O$3:O$1077,"YES*",WORKSHEET!$A$3:$A$1077,$B176,WORKSHEET!$E$3:$E$1077,$C176)/$D176)</f>
        <v>1</v>
      </c>
      <c r="K176" s="63">
        <f>IF($C176="","",COUNTIFS(WORKSHEET!P$3:P$1077,"YES*",WORKSHEET!$A$3:$A$1077,$B176,WORKSHEET!$E$3:$E$1077,$C176)/$D176)</f>
        <v>0.9</v>
      </c>
      <c r="L176" s="63"/>
      <c r="M176" s="63"/>
      <c r="N176" s="63"/>
      <c r="O176" s="63"/>
      <c r="P176" s="63"/>
      <c r="Q176" s="63"/>
    </row>
    <row r="177" spans="1:17" ht="14.25" hidden="1">
      <c r="A177" s="42" t="s">
        <v>1</v>
      </c>
      <c r="B177" s="41" t="str">
        <f t="shared" si="22"/>
        <v>Q4 Shop 1</v>
      </c>
      <c r="C177" s="41" t="str">
        <f t="shared" si="23"/>
        <v>Texas</v>
      </c>
      <c r="D177" s="53">
        <f>IF($C177="","",COUNTIFS(WORKSHEET!$E$3:$E$569,$C177,WORKSHEET!$A$3:$A$569,$B177))</f>
        <v>11</v>
      </c>
      <c r="E177" s="67">
        <f>IF($C177="","",SUMIFS(WORKSHEET!H$3:H$1077,WORKSHEET!$A$3:$A$1077,$B177,WORKSHEET!$E$3:$E$1077,$C177))</f>
        <v>44</v>
      </c>
      <c r="F177" s="67">
        <f>IF($C177="","",SUMIFS(WORKSHEET!I$3:I$1077,WORKSHEET!$A$3:$A$1077,$B177,WORKSHEET!$E$3:$E$1077,$C177))</f>
        <v>35</v>
      </c>
      <c r="G177" s="63">
        <f t="shared" si="24"/>
        <v>0.79545454545454541</v>
      </c>
      <c r="H177" s="63">
        <f>IF($C177="","",COUNTIFS(WORKSHEET!M$3:M$1077,"YES*",WORKSHEET!$A$3:$A$1077,$B177,WORKSHEET!$E$3:$E$1077,$C177)/$D177)</f>
        <v>0.90909090909090906</v>
      </c>
      <c r="I177" s="63">
        <f>IF($C177="","",COUNTIFS(WORKSHEET!N$3:N$1077,"YES*",WORKSHEET!$A$3:$A$1077,$B177,WORKSHEET!$E$3:$E$1077,$C177)/$D177)</f>
        <v>0.63636363636363635</v>
      </c>
      <c r="J177" s="63">
        <f>IF($C177="","",COUNTIFS(WORKSHEET!O$3:O$1077,"YES*",WORKSHEET!$A$3:$A$1077,$B177,WORKSHEET!$E$3:$E$1077,$C177)/$D177)</f>
        <v>0.90909090909090906</v>
      </c>
      <c r="K177" s="63">
        <f>IF($C177="","",COUNTIFS(WORKSHEET!P$3:P$1077,"YES*",WORKSHEET!$A$3:$A$1077,$B177,WORKSHEET!$E$3:$E$1077,$C177)/$D177)</f>
        <v>0.72727272727272729</v>
      </c>
      <c r="L177" s="63"/>
      <c r="M177" s="63"/>
      <c r="N177" s="63"/>
      <c r="O177" s="63"/>
      <c r="P177" s="63"/>
      <c r="Q177" s="63"/>
    </row>
    <row r="178" spans="1:17" ht="14.25" hidden="1">
      <c r="A178" s="42" t="s">
        <v>1</v>
      </c>
      <c r="B178" s="41" t="str">
        <f t="shared" si="22"/>
        <v>Q4 Shop 1</v>
      </c>
      <c r="C178" s="41" t="str">
        <f t="shared" si="23"/>
        <v>Wisconsin</v>
      </c>
      <c r="D178" s="53">
        <f>IF($C178="","",COUNTIFS(WORKSHEET!$E$3:$E$569,$C178,WORKSHEET!$A$3:$A$569,$B178))</f>
        <v>1</v>
      </c>
      <c r="E178" s="67">
        <f>IF($C178="","",SUMIFS(WORKSHEET!H$3:H$1077,WORKSHEET!$A$3:$A$1077,$B178,WORKSHEET!$E$3:$E$1077,$C178))</f>
        <v>4</v>
      </c>
      <c r="F178" s="67">
        <f>IF($C178="","",SUMIFS(WORKSHEET!I$3:I$1077,WORKSHEET!$A$3:$A$1077,$B178,WORKSHEET!$E$3:$E$1077,$C178))</f>
        <v>3</v>
      </c>
      <c r="G178" s="63">
        <f t="shared" si="24"/>
        <v>0.75</v>
      </c>
      <c r="H178" s="63">
        <f>IF($C178="","",COUNTIFS(WORKSHEET!M$3:M$1077,"YES*",WORKSHEET!$A$3:$A$1077,$B178,WORKSHEET!$E$3:$E$1077,$C178)/$D178)</f>
        <v>0</v>
      </c>
      <c r="I178" s="63">
        <f>IF($C178="","",COUNTIFS(WORKSHEET!N$3:N$1077,"YES*",WORKSHEET!$A$3:$A$1077,$B178,WORKSHEET!$E$3:$E$1077,$C178)/$D178)</f>
        <v>1</v>
      </c>
      <c r="J178" s="63">
        <f>IF($C178="","",COUNTIFS(WORKSHEET!O$3:O$1077,"YES*",WORKSHEET!$A$3:$A$1077,$B178,WORKSHEET!$E$3:$E$1077,$C178)/$D178)</f>
        <v>1</v>
      </c>
      <c r="K178" s="63">
        <f>IF($C178="","",COUNTIFS(WORKSHEET!P$3:P$1077,"YES*",WORKSHEET!$A$3:$A$1077,$B178,WORKSHEET!$E$3:$E$1077,$C178)/$D178)</f>
        <v>1</v>
      </c>
      <c r="L178" s="63"/>
      <c r="M178" s="63"/>
      <c r="N178" s="63"/>
      <c r="O178" s="63"/>
      <c r="P178" s="63"/>
      <c r="Q178" s="63"/>
    </row>
    <row r="179" spans="1:17" ht="14.25" hidden="1">
      <c r="A179" s="42" t="s">
        <v>1</v>
      </c>
      <c r="B179" s="41" t="str">
        <f t="shared" si="22"/>
        <v>Q4 Shop 1</v>
      </c>
      <c r="C179" s="41" t="str">
        <f t="shared" si="23"/>
        <v/>
      </c>
      <c r="D179" s="53" t="str">
        <f>IF($C179="","",COUNTIFS(WORKSHEET!$E$3:$E$569,$C179,WORKSHEET!$A$3:$A$569,$B179))</f>
        <v/>
      </c>
      <c r="E179" s="67" t="str">
        <f>IF($C179="","",SUMIFS(WORKSHEET!H$3:H$1077,WORKSHEET!$A$3:$A$1077,$B179,WORKSHEET!$E$3:$E$1077,$C179))</f>
        <v/>
      </c>
      <c r="F179" s="67" t="str">
        <f>IF($C179="","",SUMIFS(WORKSHEET!I$3:I$1077,WORKSHEET!$A$3:$A$1077,$B179,WORKSHEET!$E$3:$E$1077,$C179))</f>
        <v/>
      </c>
      <c r="G179" s="63" t="str">
        <f t="shared" si="24"/>
        <v/>
      </c>
      <c r="H179" s="63" t="str">
        <f>IF($C179="","",COUNTIFS(WORKSHEET!M$3:M$1077,"YES*",WORKSHEET!$A$3:$A$1077,$B179,WORKSHEET!$E$3:$E$1077,$C179)/$D179)</f>
        <v/>
      </c>
      <c r="I179" s="63" t="str">
        <f>IF($C179="","",COUNTIFS(WORKSHEET!N$3:N$1077,"YES*",WORKSHEET!$A$3:$A$1077,$B179,WORKSHEET!$E$3:$E$1077,$C179)/$D179)</f>
        <v/>
      </c>
      <c r="J179" s="63" t="str">
        <f>IF($C179="","",COUNTIFS(WORKSHEET!O$3:O$1077,"YES*",WORKSHEET!$A$3:$A$1077,$B179,WORKSHEET!$E$3:$E$1077,$C179)/$D179)</f>
        <v/>
      </c>
      <c r="K179" s="63" t="str">
        <f>IF($C179="","",COUNTIFS(WORKSHEET!P$3:P$1077,"YES*",WORKSHEET!$A$3:$A$1077,$B179,WORKSHEET!$E$3:$E$1077,$C179)/$D179)</f>
        <v/>
      </c>
      <c r="L179" s="63"/>
      <c r="M179" s="63"/>
      <c r="N179" s="63"/>
      <c r="O179" s="63"/>
      <c r="P179" s="63"/>
      <c r="Q179" s="63"/>
    </row>
    <row r="180" spans="1:17" ht="14.25" hidden="1">
      <c r="A180" s="42" t="s">
        <v>1</v>
      </c>
      <c r="B180" s="41" t="str">
        <f t="shared" si="22"/>
        <v>Q4 Shop 1</v>
      </c>
      <c r="C180" s="41" t="str">
        <f t="shared" si="23"/>
        <v/>
      </c>
      <c r="D180" s="53" t="str">
        <f>IF($C180="","",COUNTIFS(WORKSHEET!$E$3:$E$569,$C180,WORKSHEET!$A$3:$A$569,$B180))</f>
        <v/>
      </c>
      <c r="E180" s="67" t="str">
        <f>IF($C180="","",SUMIFS(WORKSHEET!H$3:H$1077,WORKSHEET!$A$3:$A$1077,$B180,WORKSHEET!$E$3:$E$1077,$C180))</f>
        <v/>
      </c>
      <c r="F180" s="67" t="str">
        <f>IF($C180="","",SUMIFS(WORKSHEET!I$3:I$1077,WORKSHEET!$A$3:$A$1077,$B180,WORKSHEET!$E$3:$E$1077,$C180))</f>
        <v/>
      </c>
      <c r="G180" s="63" t="str">
        <f t="shared" si="24"/>
        <v/>
      </c>
      <c r="H180" s="63" t="str">
        <f>IF($C180="","",COUNTIFS(WORKSHEET!M$3:M$1077,"YES*",WORKSHEET!$A$3:$A$1077,$B180,WORKSHEET!$E$3:$E$1077,$C180)/$D180)</f>
        <v/>
      </c>
      <c r="I180" s="63" t="str">
        <f>IF($C180="","",COUNTIFS(WORKSHEET!N$3:N$1077,"YES*",WORKSHEET!$A$3:$A$1077,$B180,WORKSHEET!$E$3:$E$1077,$C180)/$D180)</f>
        <v/>
      </c>
      <c r="J180" s="63" t="str">
        <f>IF($C180="","",COUNTIFS(WORKSHEET!O$3:O$1077,"YES*",WORKSHEET!$A$3:$A$1077,$B180,WORKSHEET!$E$3:$E$1077,$C180)/$D180)</f>
        <v/>
      </c>
      <c r="K180" s="63" t="str">
        <f>IF($C180="","",COUNTIFS(WORKSHEET!P$3:P$1077,"YES*",WORKSHEET!$A$3:$A$1077,$B180,WORKSHEET!$E$3:$E$1077,$C180)/$D180)</f>
        <v/>
      </c>
      <c r="L180" s="63"/>
      <c r="M180" s="63"/>
      <c r="N180" s="63"/>
      <c r="O180" s="63"/>
      <c r="P180" s="63"/>
      <c r="Q180" s="63"/>
    </row>
    <row r="181" spans="1:17" s="56" customFormat="1" ht="15.75" hidden="1">
      <c r="A181" s="76" t="s">
        <v>27</v>
      </c>
      <c r="B181" s="56" t="str">
        <f t="shared" si="22"/>
        <v>Q4 Shop 1</v>
      </c>
      <c r="C181" s="56" t="s">
        <v>28</v>
      </c>
      <c r="D181" s="64">
        <f>COUNTIFS(WORKSHEET!$J$3:$J$1077,"*",WORKSHEET!$A$3:$A$1077,$B181)</f>
        <v>64</v>
      </c>
      <c r="E181" s="68">
        <f>IF($C181="","",SUMIFS(WORKSHEET!H$3:H$1077,WORKSHEET!$A$3:$A$1077,$B181))</f>
        <v>256</v>
      </c>
      <c r="F181" s="68">
        <f>IF($C181="","",SUMIFS(WORKSHEET!I$3:I$1077,WORKSHEET!$A$3:$A$1077,$B181))</f>
        <v>226</v>
      </c>
      <c r="G181" s="66">
        <f t="shared" si="24"/>
        <v>0.8828125</v>
      </c>
      <c r="H181" s="66">
        <f>IF($C181="","",COUNTIFS(WORKSHEET!M$3:M$1077,"YES*",WORKSHEET!$A$3:$A$1077,$B181)/$D181)</f>
        <v>0.90625</v>
      </c>
      <c r="I181" s="66">
        <f>IF($C181="","",COUNTIFS(WORKSHEET!N$3:N$1077,"YES*",WORKSHEET!$A$3:$A$1077,$B181)/$D181)</f>
        <v>0.8125</v>
      </c>
      <c r="J181" s="66">
        <f>IF($C181="","",COUNTIFS(WORKSHEET!O$3:O$1077,"YES*",WORKSHEET!$A$3:$A$1077,$B181)/$D181)</f>
        <v>0.96875</v>
      </c>
      <c r="K181" s="66">
        <f>IF($C181="","",COUNTIFS(WORKSHEET!P$3:P$1077,"YES*",WORKSHEET!$A$3:$A$1077,$B181)/$D181)</f>
        <v>0.84375</v>
      </c>
      <c r="L181" s="66"/>
      <c r="M181" s="66"/>
      <c r="N181" s="66"/>
      <c r="O181" s="66"/>
      <c r="P181" s="66"/>
      <c r="Q181" s="66"/>
    </row>
    <row r="182" spans="1:17" hidden="1"/>
    <row r="183" spans="1:17" ht="48" hidden="1" customHeight="1">
      <c r="A183" s="42"/>
      <c r="B183" s="41" t="s">
        <v>21</v>
      </c>
      <c r="C183" s="41" t="s">
        <v>22</v>
      </c>
      <c r="D183" s="53" t="s">
        <v>23</v>
      </c>
      <c r="E183" s="53" t="s">
        <v>24</v>
      </c>
      <c r="F183" s="53" t="s">
        <v>25</v>
      </c>
      <c r="G183" s="53" t="s">
        <v>26</v>
      </c>
      <c r="H183" s="55" t="s">
        <v>3</v>
      </c>
      <c r="I183" s="55" t="s">
        <v>4</v>
      </c>
      <c r="J183" s="55" t="s">
        <v>5</v>
      </c>
      <c r="K183" s="55" t="s">
        <v>6</v>
      </c>
      <c r="L183" s="55"/>
      <c r="M183" s="55"/>
      <c r="N183" s="55"/>
      <c r="O183" s="55"/>
      <c r="P183" s="55"/>
      <c r="Q183" s="55"/>
    </row>
    <row r="184" spans="1:17" ht="14.25" hidden="1">
      <c r="A184" s="42">
        <v>1</v>
      </c>
      <c r="B184" s="41" t="str">
        <f>$B$156&amp;" Shop 2"</f>
        <v>Q4 Shop 2</v>
      </c>
      <c r="C184" s="41" t="str">
        <f>IF(C158="","",C158)</f>
        <v>Arizona</v>
      </c>
      <c r="D184" s="53">
        <f>IF($C184="","",COUNTIFS(WORKSHEET!$E$3:$E$569,$C184,WORKSHEET!$A$3:$A$569,$B184))</f>
        <v>18</v>
      </c>
      <c r="E184" s="67">
        <f>IF($C184="","",SUMIFS(WORKSHEET!H$3:H$1077,WORKSHEET!$A$3:$A$1077,$B184,WORKSHEET!$E$3:$E$1077,$C184))</f>
        <v>72</v>
      </c>
      <c r="F184" s="67">
        <f>IF($C184="","",SUMIFS(WORKSHEET!I$3:I$1077,WORKSHEET!$A$3:$A$1077,$B184,WORKSHEET!$E$3:$E$1077,$C184))</f>
        <v>66</v>
      </c>
      <c r="G184" s="63">
        <f>IF($C184="","",F184/E184)</f>
        <v>0.91666666666666663</v>
      </c>
      <c r="H184" s="63">
        <f>IF($C184="","",COUNTIFS(WORKSHEET!M$3:M$1077,"YES*",WORKSHEET!$A$3:$A$1077,$B184,WORKSHEET!$E$3:$E$1077,$C184)/$D184)</f>
        <v>0.94444444444444442</v>
      </c>
      <c r="I184" s="63">
        <f>IF($C184="","",COUNTIFS(WORKSHEET!N$3:N$1077,"YES*",WORKSHEET!$A$3:$A$1077,$B184,WORKSHEET!$E$3:$E$1077,$C184)/$D184)</f>
        <v>0.88888888888888884</v>
      </c>
      <c r="J184" s="63">
        <f>IF($C184="","",COUNTIFS(WORKSHEET!O$3:O$1077,"YES*",WORKSHEET!$A$3:$A$1077,$B184,WORKSHEET!$E$3:$E$1077,$C184)/$D184)</f>
        <v>0.94444444444444442</v>
      </c>
      <c r="K184" s="63">
        <f>IF($C184="","",COUNTIFS(WORKSHEET!P$3:P$1077,"YES*",WORKSHEET!$A$3:$A$1077,$B184,WORKSHEET!$E$3:$E$1077,$C184)/$D184)</f>
        <v>0.88888888888888884</v>
      </c>
      <c r="L184" s="63"/>
      <c r="M184" s="63"/>
      <c r="N184" s="63"/>
      <c r="O184" s="63"/>
      <c r="P184" s="63"/>
      <c r="Q184" s="63"/>
    </row>
    <row r="185" spans="1:17" ht="14.25" hidden="1">
      <c r="A185" s="42">
        <v>2</v>
      </c>
      <c r="B185" s="41" t="str">
        <f t="shared" ref="B185:B194" si="25">$B$156&amp;" Shop 2"</f>
        <v>Q4 Shop 2</v>
      </c>
      <c r="C185" s="41" t="str">
        <f t="shared" ref="C185:C193" si="26">IF(C159="","",C159)</f>
        <v>Indiana</v>
      </c>
      <c r="D185" s="53">
        <f>IF($C185="","",COUNTIFS(WORKSHEET!$E$3:$E$569,$C185,WORKSHEET!$A$3:$A$569,$B185))</f>
        <v>2</v>
      </c>
      <c r="E185" s="67">
        <f>IF($C185="","",SUMIFS(WORKSHEET!H$3:H$1077,WORKSHEET!$A$3:$A$1077,$B185,WORKSHEET!$E$3:$E$1077,$C185))</f>
        <v>8</v>
      </c>
      <c r="F185" s="67">
        <f>IF($C185="","",SUMIFS(WORKSHEET!I$3:I$1077,WORKSHEET!$A$3:$A$1077,$B185,WORKSHEET!$E$3:$E$1077,$C185))</f>
        <v>8</v>
      </c>
      <c r="G185" s="63">
        <f t="shared" ref="G185:G194" si="27">IF($C185="","",F185/E185)</f>
        <v>1</v>
      </c>
      <c r="H185" s="63">
        <f>IF($C185="","",COUNTIFS(WORKSHEET!M$3:M$1077,"YES*",WORKSHEET!$A$3:$A$1077,$B185,WORKSHEET!$E$3:$E$1077,$C185)/$D185)</f>
        <v>1</v>
      </c>
      <c r="I185" s="63">
        <f>IF($C185="","",COUNTIFS(WORKSHEET!N$3:N$1077,"YES*",WORKSHEET!$A$3:$A$1077,$B185,WORKSHEET!$E$3:$E$1077,$C185)/$D185)</f>
        <v>1</v>
      </c>
      <c r="J185" s="63">
        <f>IF($C185="","",COUNTIFS(WORKSHEET!O$3:O$1077,"YES*",WORKSHEET!$A$3:$A$1077,$B185,WORKSHEET!$E$3:$E$1077,$C185)/$D185)</f>
        <v>1</v>
      </c>
      <c r="K185" s="63">
        <f>IF($C185="","",COUNTIFS(WORKSHEET!P$3:P$1077,"YES*",WORKSHEET!$A$3:$A$1077,$B185,WORKSHEET!$E$3:$E$1077,$C185)/$D185)</f>
        <v>1</v>
      </c>
      <c r="L185" s="63"/>
      <c r="M185" s="63"/>
      <c r="N185" s="63"/>
      <c r="O185" s="63"/>
      <c r="P185" s="63"/>
      <c r="Q185" s="63"/>
    </row>
    <row r="186" spans="1:17" ht="14.25" hidden="1">
      <c r="A186" s="42">
        <v>3</v>
      </c>
      <c r="B186" s="41" t="str">
        <f t="shared" si="25"/>
        <v>Q4 Shop 2</v>
      </c>
      <c r="C186" s="41" t="str">
        <f t="shared" si="26"/>
        <v>Michigan &amp; Minnesota</v>
      </c>
      <c r="D186" s="53">
        <f>IF($C186="","",COUNTIFS(WORKSHEET!$E$3:$E$569,$C186,WORKSHEET!$A$3:$A$569,$B186))</f>
        <v>3</v>
      </c>
      <c r="E186" s="67">
        <f>IF($C186="","",SUMIFS(WORKSHEET!H$3:H$1077,WORKSHEET!$A$3:$A$1077,$B186,WORKSHEET!$E$3:$E$1077,$C186))</f>
        <v>12</v>
      </c>
      <c r="F186" s="67">
        <f>IF($C186="","",SUMIFS(WORKSHEET!I$3:I$1077,WORKSHEET!$A$3:$A$1077,$B186,WORKSHEET!$E$3:$E$1077,$C186))</f>
        <v>8</v>
      </c>
      <c r="G186" s="63">
        <f t="shared" si="27"/>
        <v>0.66666666666666663</v>
      </c>
      <c r="H186" s="63">
        <f>IF($C186="","",COUNTIFS(WORKSHEET!M$3:M$1077,"YES*",WORKSHEET!$A$3:$A$1077,$B186,WORKSHEET!$E$3:$E$1077,$C186)/$D186)</f>
        <v>0.66666666666666663</v>
      </c>
      <c r="I186" s="63">
        <f>IF($C186="","",COUNTIFS(WORKSHEET!N$3:N$1077,"YES*",WORKSHEET!$A$3:$A$1077,$B186,WORKSHEET!$E$3:$E$1077,$C186)/$D186)</f>
        <v>0.66666666666666663</v>
      </c>
      <c r="J186" s="63">
        <f>IF($C186="","",COUNTIFS(WORKSHEET!O$3:O$1077,"YES*",WORKSHEET!$A$3:$A$1077,$B186,WORKSHEET!$E$3:$E$1077,$C186)/$D186)</f>
        <v>1</v>
      </c>
      <c r="K186" s="63">
        <f>IF($C186="","",COUNTIFS(WORKSHEET!P$3:P$1077,"YES*",WORKSHEET!$A$3:$A$1077,$B186,WORKSHEET!$E$3:$E$1077,$C186)/$D186)</f>
        <v>0.33333333333333331</v>
      </c>
      <c r="L186" s="63"/>
      <c r="M186" s="63"/>
      <c r="N186" s="63"/>
      <c r="O186" s="63"/>
      <c r="P186" s="63"/>
      <c r="Q186" s="63"/>
    </row>
    <row r="187" spans="1:17" ht="14.25" hidden="1">
      <c r="A187" s="42">
        <v>4</v>
      </c>
      <c r="B187" s="41" t="str">
        <f t="shared" si="25"/>
        <v>Q4 Shop 2</v>
      </c>
      <c r="C187" s="41" t="str">
        <f t="shared" si="26"/>
        <v>Northern California</v>
      </c>
      <c r="D187" s="53">
        <f>IF($C187="","",COUNTIFS(WORKSHEET!$E$3:$E$569,$C187,WORKSHEET!$A$3:$A$569,$B187))</f>
        <v>8</v>
      </c>
      <c r="E187" s="67">
        <f>IF($C187="","",SUMIFS(WORKSHEET!H$3:H$1077,WORKSHEET!$A$3:$A$1077,$B187,WORKSHEET!$E$3:$E$1077,$C187))</f>
        <v>32</v>
      </c>
      <c r="F187" s="67">
        <f>IF($C187="","",SUMIFS(WORKSHEET!I$3:I$1077,WORKSHEET!$A$3:$A$1077,$B187,WORKSHEET!$E$3:$E$1077,$C187))</f>
        <v>29</v>
      </c>
      <c r="G187" s="63">
        <f t="shared" si="27"/>
        <v>0.90625</v>
      </c>
      <c r="H187" s="63">
        <f>IF($C187="","",COUNTIFS(WORKSHEET!M$3:M$1077,"YES*",WORKSHEET!$A$3:$A$1077,$B187,WORKSHEET!$E$3:$E$1077,$C187)/$D187)</f>
        <v>0.875</v>
      </c>
      <c r="I187" s="63">
        <f>IF($C187="","",COUNTIFS(WORKSHEET!N$3:N$1077,"YES*",WORKSHEET!$A$3:$A$1077,$B187,WORKSHEET!$E$3:$E$1077,$C187)/$D187)</f>
        <v>1</v>
      </c>
      <c r="J187" s="63">
        <f>IF($C187="","",COUNTIFS(WORKSHEET!O$3:O$1077,"YES*",WORKSHEET!$A$3:$A$1077,$B187,WORKSHEET!$E$3:$E$1077,$C187)/$D187)</f>
        <v>0.875</v>
      </c>
      <c r="K187" s="63">
        <f>IF($C187="","",COUNTIFS(WORKSHEET!P$3:P$1077,"YES*",WORKSHEET!$A$3:$A$1077,$B187,WORKSHEET!$E$3:$E$1077,$C187)/$D187)</f>
        <v>0.875</v>
      </c>
      <c r="L187" s="63"/>
      <c r="M187" s="63"/>
      <c r="N187" s="63"/>
      <c r="O187" s="63"/>
      <c r="P187" s="63"/>
      <c r="Q187" s="63"/>
    </row>
    <row r="188" spans="1:17" ht="14.25" hidden="1">
      <c r="A188" s="42">
        <v>5</v>
      </c>
      <c r="B188" s="41" t="str">
        <f t="shared" si="25"/>
        <v>Q4 Shop 2</v>
      </c>
      <c r="C188" s="41" t="str">
        <f t="shared" si="26"/>
        <v>Orange County</v>
      </c>
      <c r="D188" s="53">
        <f>IF($C188="","",COUNTIFS(WORKSHEET!$E$3:$E$569,$C188,WORKSHEET!$A$3:$A$569,$B188))</f>
        <v>9</v>
      </c>
      <c r="E188" s="67">
        <f>IF($C188="","",SUMIFS(WORKSHEET!H$3:H$1077,WORKSHEET!$A$3:$A$1077,$B188,WORKSHEET!$E$3:$E$1077,$C188))</f>
        <v>36</v>
      </c>
      <c r="F188" s="67">
        <f>IF($C188="","",SUMIFS(WORKSHEET!I$3:I$1077,WORKSHEET!$A$3:$A$1077,$B188,WORKSHEET!$E$3:$E$1077,$C188))</f>
        <v>33</v>
      </c>
      <c r="G188" s="63">
        <f t="shared" si="27"/>
        <v>0.91666666666666663</v>
      </c>
      <c r="H188" s="63">
        <f>IF($C188="","",COUNTIFS(WORKSHEET!M$3:M$1077,"YES*",WORKSHEET!$A$3:$A$1077,$B188,WORKSHEET!$E$3:$E$1077,$C188)/$D188)</f>
        <v>1</v>
      </c>
      <c r="I188" s="63">
        <f>IF($C188="","",COUNTIFS(WORKSHEET!N$3:N$1077,"YES*",WORKSHEET!$A$3:$A$1077,$B188,WORKSHEET!$E$3:$E$1077,$C188)/$D188)</f>
        <v>0.88888888888888884</v>
      </c>
      <c r="J188" s="63">
        <f>IF($C188="","",COUNTIFS(WORKSHEET!O$3:O$1077,"YES*",WORKSHEET!$A$3:$A$1077,$B188,WORKSHEET!$E$3:$E$1077,$C188)/$D188)</f>
        <v>0.88888888888888884</v>
      </c>
      <c r="K188" s="63">
        <f>IF($C188="","",COUNTIFS(WORKSHEET!P$3:P$1077,"YES*",WORKSHEET!$A$3:$A$1077,$B188,WORKSHEET!$E$3:$E$1077,$C188)/$D188)</f>
        <v>0.88888888888888884</v>
      </c>
      <c r="L188" s="63"/>
      <c r="M188" s="63"/>
      <c r="N188" s="63"/>
      <c r="O188" s="63"/>
      <c r="P188" s="63"/>
      <c r="Q188" s="63"/>
    </row>
    <row r="189" spans="1:17" ht="14.25" hidden="1">
      <c r="A189" s="42" t="s">
        <v>1</v>
      </c>
      <c r="B189" s="41" t="str">
        <f t="shared" si="25"/>
        <v>Q4 Shop 2</v>
      </c>
      <c r="C189" s="41" t="str">
        <f t="shared" si="26"/>
        <v>Southern California</v>
      </c>
      <c r="D189" s="53">
        <f>IF($C189="","",COUNTIFS(WORKSHEET!$E$3:$E$569,$C189,WORKSHEET!$A$3:$A$569,$B189))</f>
        <v>10</v>
      </c>
      <c r="E189" s="67">
        <f>IF($C189="","",SUMIFS(WORKSHEET!H$3:H$1077,WORKSHEET!$A$3:$A$1077,$B189,WORKSHEET!$E$3:$E$1077,$C189))</f>
        <v>40</v>
      </c>
      <c r="F189" s="67">
        <f>IF($C189="","",SUMIFS(WORKSHEET!I$3:I$1077,WORKSHEET!$A$3:$A$1077,$B189,WORKSHEET!$E$3:$E$1077,$C189))</f>
        <v>35</v>
      </c>
      <c r="G189" s="63">
        <f t="shared" si="27"/>
        <v>0.875</v>
      </c>
      <c r="H189" s="63">
        <f>IF($C189="","",COUNTIFS(WORKSHEET!M$3:M$1077,"YES*",WORKSHEET!$A$3:$A$1077,$B189,WORKSHEET!$E$3:$E$1077,$C189)/$D189)</f>
        <v>0.9</v>
      </c>
      <c r="I189" s="63">
        <f>IF($C189="","",COUNTIFS(WORKSHEET!N$3:N$1077,"YES*",WORKSHEET!$A$3:$A$1077,$B189,WORKSHEET!$E$3:$E$1077,$C189)/$D189)</f>
        <v>0.8</v>
      </c>
      <c r="J189" s="63">
        <f>IF($C189="","",COUNTIFS(WORKSHEET!O$3:O$1077,"YES*",WORKSHEET!$A$3:$A$1077,$B189,WORKSHEET!$E$3:$E$1077,$C189)/$D189)</f>
        <v>0.9</v>
      </c>
      <c r="K189" s="63">
        <f>IF($C189="","",COUNTIFS(WORKSHEET!P$3:P$1077,"YES*",WORKSHEET!$A$3:$A$1077,$B189,WORKSHEET!$E$3:$E$1077,$C189)/$D189)</f>
        <v>0.9</v>
      </c>
      <c r="L189" s="63"/>
      <c r="M189" s="63"/>
      <c r="N189" s="63"/>
      <c r="O189" s="63"/>
      <c r="P189" s="63"/>
      <c r="Q189" s="63"/>
    </row>
    <row r="190" spans="1:17" ht="14.25" hidden="1">
      <c r="A190" s="42" t="s">
        <v>1</v>
      </c>
      <c r="B190" s="41" t="str">
        <f t="shared" si="25"/>
        <v>Q4 Shop 2</v>
      </c>
      <c r="C190" s="41" t="str">
        <f t="shared" si="26"/>
        <v>Texas</v>
      </c>
      <c r="D190" s="53">
        <f>IF($C190="","",COUNTIFS(WORKSHEET!$E$3:$E$569,$C190,WORKSHEET!$A$3:$A$569,$B190))</f>
        <v>11</v>
      </c>
      <c r="E190" s="67">
        <f>IF($C190="","",SUMIFS(WORKSHEET!H$3:H$1077,WORKSHEET!$A$3:$A$1077,$B190,WORKSHEET!$E$3:$E$1077,$C190))</f>
        <v>44</v>
      </c>
      <c r="F190" s="67">
        <f>IF($C190="","",SUMIFS(WORKSHEET!I$3:I$1077,WORKSHEET!$A$3:$A$1077,$B190,WORKSHEET!$E$3:$E$1077,$C190))</f>
        <v>37</v>
      </c>
      <c r="G190" s="63">
        <f t="shared" si="27"/>
        <v>0.84090909090909094</v>
      </c>
      <c r="H190" s="63">
        <f>IF($C190="","",COUNTIFS(WORKSHEET!M$3:M$1077,"YES*",WORKSHEET!$A$3:$A$1077,$B190,WORKSHEET!$E$3:$E$1077,$C190)/$D190)</f>
        <v>0.81818181818181823</v>
      </c>
      <c r="I190" s="63">
        <f>IF($C190="","",COUNTIFS(WORKSHEET!N$3:N$1077,"YES*",WORKSHEET!$A$3:$A$1077,$B190,WORKSHEET!$E$3:$E$1077,$C190)/$D190)</f>
        <v>0.72727272727272729</v>
      </c>
      <c r="J190" s="63">
        <f>IF($C190="","",COUNTIFS(WORKSHEET!O$3:O$1077,"YES*",WORKSHEET!$A$3:$A$1077,$B190,WORKSHEET!$E$3:$E$1077,$C190)/$D190)</f>
        <v>0.90909090909090906</v>
      </c>
      <c r="K190" s="63">
        <f>IF($C190="","",COUNTIFS(WORKSHEET!P$3:P$1077,"YES*",WORKSHEET!$A$3:$A$1077,$B190,WORKSHEET!$E$3:$E$1077,$C190)/$D190)</f>
        <v>0.90909090909090906</v>
      </c>
      <c r="L190" s="63"/>
      <c r="M190" s="63"/>
      <c r="N190" s="63"/>
      <c r="O190" s="63"/>
      <c r="P190" s="63"/>
      <c r="Q190" s="63"/>
    </row>
    <row r="191" spans="1:17" ht="14.25" hidden="1">
      <c r="A191" s="42" t="s">
        <v>1</v>
      </c>
      <c r="B191" s="41" t="str">
        <f t="shared" si="25"/>
        <v>Q4 Shop 2</v>
      </c>
      <c r="C191" s="41" t="str">
        <f t="shared" si="26"/>
        <v>Wisconsin</v>
      </c>
      <c r="D191" s="53">
        <f>IF($C191="","",COUNTIFS(WORKSHEET!$E$3:$E$569,$C191,WORKSHEET!$A$3:$A$569,$B191))</f>
        <v>1</v>
      </c>
      <c r="E191" s="67">
        <f>IF($C191="","",SUMIFS(WORKSHEET!H$3:H$1077,WORKSHEET!$A$3:$A$1077,$B191,WORKSHEET!$E$3:$E$1077,$C191))</f>
        <v>4</v>
      </c>
      <c r="F191" s="67">
        <f>IF($C191="","",SUMIFS(WORKSHEET!I$3:I$1077,WORKSHEET!$A$3:$A$1077,$B191,WORKSHEET!$E$3:$E$1077,$C191))</f>
        <v>3</v>
      </c>
      <c r="G191" s="63">
        <f t="shared" si="27"/>
        <v>0.75</v>
      </c>
      <c r="H191" s="63">
        <f>IF($C191="","",COUNTIFS(WORKSHEET!M$3:M$1077,"YES*",WORKSHEET!$A$3:$A$1077,$B191,WORKSHEET!$E$3:$E$1077,$C191)/$D191)</f>
        <v>0</v>
      </c>
      <c r="I191" s="63">
        <f>IF($C191="","",COUNTIFS(WORKSHEET!N$3:N$1077,"YES*",WORKSHEET!$A$3:$A$1077,$B191,WORKSHEET!$E$3:$E$1077,$C191)/$D191)</f>
        <v>1</v>
      </c>
      <c r="J191" s="63">
        <f>IF($C191="","",COUNTIFS(WORKSHEET!O$3:O$1077,"YES*",WORKSHEET!$A$3:$A$1077,$B191,WORKSHEET!$E$3:$E$1077,$C191)/$D191)</f>
        <v>1</v>
      </c>
      <c r="K191" s="63">
        <f>IF($C191="","",COUNTIFS(WORKSHEET!P$3:P$1077,"YES*",WORKSHEET!$A$3:$A$1077,$B191,WORKSHEET!$E$3:$E$1077,$C191)/$D191)</f>
        <v>1</v>
      </c>
      <c r="L191" s="63"/>
      <c r="M191" s="63"/>
      <c r="N191" s="63"/>
      <c r="O191" s="63"/>
      <c r="P191" s="63"/>
      <c r="Q191" s="63"/>
    </row>
    <row r="192" spans="1:17" ht="14.25" hidden="1">
      <c r="A192" s="42" t="s">
        <v>1</v>
      </c>
      <c r="B192" s="41" t="str">
        <f t="shared" si="25"/>
        <v>Q4 Shop 2</v>
      </c>
      <c r="C192" s="41" t="str">
        <f t="shared" si="26"/>
        <v/>
      </c>
      <c r="D192" s="53" t="str">
        <f>IF($C192="","",COUNTIFS(WORKSHEET!$E$3:$E$569,$C192,WORKSHEET!$A$3:$A$569,$B192))</f>
        <v/>
      </c>
      <c r="E192" s="67" t="str">
        <f>IF($C192="","",SUMIFS(WORKSHEET!H$3:H$1077,WORKSHEET!$A$3:$A$1077,$B192,WORKSHEET!$E$3:$E$1077,$C192))</f>
        <v/>
      </c>
      <c r="F192" s="67" t="str">
        <f>IF($C192="","",SUMIFS(WORKSHEET!I$3:I$1077,WORKSHEET!$A$3:$A$1077,$B192,WORKSHEET!$E$3:$E$1077,$C192))</f>
        <v/>
      </c>
      <c r="G192" s="63" t="str">
        <f t="shared" si="27"/>
        <v/>
      </c>
      <c r="H192" s="63" t="str">
        <f>IF($C192="","",COUNTIFS(WORKSHEET!M$3:M$1077,"YES*",WORKSHEET!$A$3:$A$1077,$B192,WORKSHEET!$E$3:$E$1077,$C192)/$D192)</f>
        <v/>
      </c>
      <c r="I192" s="63" t="str">
        <f>IF($C192="","",COUNTIFS(WORKSHEET!N$3:N$1077,"YES*",WORKSHEET!$A$3:$A$1077,$B192,WORKSHEET!$E$3:$E$1077,$C192)/$D192)</f>
        <v/>
      </c>
      <c r="J192" s="63" t="str">
        <f>IF($C192="","",COUNTIFS(WORKSHEET!O$3:O$1077,"YES*",WORKSHEET!$A$3:$A$1077,$B192,WORKSHEET!$E$3:$E$1077,$C192)/$D192)</f>
        <v/>
      </c>
      <c r="K192" s="63" t="str">
        <f>IF($C192="","",COUNTIFS(WORKSHEET!P$3:P$1077,"YES*",WORKSHEET!$A$3:$A$1077,$B192,WORKSHEET!$E$3:$E$1077,$C192)/$D192)</f>
        <v/>
      </c>
      <c r="L192" s="63"/>
      <c r="M192" s="63"/>
      <c r="N192" s="63"/>
      <c r="O192" s="63"/>
      <c r="P192" s="63"/>
      <c r="Q192" s="63"/>
    </row>
    <row r="193" spans="1:17" ht="14.25" hidden="1">
      <c r="A193" s="42" t="s">
        <v>1</v>
      </c>
      <c r="B193" s="41" t="str">
        <f t="shared" si="25"/>
        <v>Q4 Shop 2</v>
      </c>
      <c r="C193" s="41" t="str">
        <f t="shared" si="26"/>
        <v/>
      </c>
      <c r="D193" s="53" t="str">
        <f>IF($C193="","",COUNTIFS(WORKSHEET!$E$3:$E$569,$C193,WORKSHEET!$A$3:$A$569,$B193))</f>
        <v/>
      </c>
      <c r="E193" s="67" t="str">
        <f>IF($C193="","",SUMIFS(WORKSHEET!H$3:H$1077,WORKSHEET!$A$3:$A$1077,$B193,WORKSHEET!$E$3:$E$1077,$C193))</f>
        <v/>
      </c>
      <c r="F193" s="67" t="str">
        <f>IF($C193="","",SUMIFS(WORKSHEET!I$3:I$1077,WORKSHEET!$A$3:$A$1077,$B193,WORKSHEET!$E$3:$E$1077,$C193))</f>
        <v/>
      </c>
      <c r="G193" s="63" t="str">
        <f t="shared" si="27"/>
        <v/>
      </c>
      <c r="H193" s="63" t="str">
        <f>IF($C193="","",COUNTIFS(WORKSHEET!M$3:M$1077,"YES*",WORKSHEET!$A$3:$A$1077,$B193,WORKSHEET!$E$3:$E$1077,$C193)/$D193)</f>
        <v/>
      </c>
      <c r="I193" s="63" t="str">
        <f>IF($C193="","",COUNTIFS(WORKSHEET!N$3:N$1077,"YES*",WORKSHEET!$A$3:$A$1077,$B193,WORKSHEET!$E$3:$E$1077,$C193)/$D193)</f>
        <v/>
      </c>
      <c r="J193" s="63" t="str">
        <f>IF($C193="","",COUNTIFS(WORKSHEET!O$3:O$1077,"YES*",WORKSHEET!$A$3:$A$1077,$B193,WORKSHEET!$E$3:$E$1077,$C193)/$D193)</f>
        <v/>
      </c>
      <c r="K193" s="63" t="str">
        <f>IF($C193="","",COUNTIFS(WORKSHEET!P$3:P$1077,"YES*",WORKSHEET!$A$3:$A$1077,$B193,WORKSHEET!$E$3:$E$1077,$C193)/$D193)</f>
        <v/>
      </c>
      <c r="L193" s="63"/>
      <c r="M193" s="63"/>
      <c r="N193" s="63"/>
      <c r="O193" s="63"/>
      <c r="P193" s="63"/>
      <c r="Q193" s="63"/>
    </row>
    <row r="194" spans="1:17" s="56" customFormat="1" ht="15.75" hidden="1">
      <c r="A194" s="76" t="s">
        <v>27</v>
      </c>
      <c r="B194" s="56" t="str">
        <f t="shared" si="25"/>
        <v>Q4 Shop 2</v>
      </c>
      <c r="C194" s="56" t="s">
        <v>28</v>
      </c>
      <c r="D194" s="64">
        <f>COUNTIFS(WORKSHEET!$J$3:$J$1077,"*",WORKSHEET!$A$3:$A$1077,$B194)</f>
        <v>64</v>
      </c>
      <c r="E194" s="68">
        <f>IF($C194="","",SUMIFS(WORKSHEET!H$3:H$1077,WORKSHEET!$A$3:$A$1077,$B194))</f>
        <v>256</v>
      </c>
      <c r="F194" s="68">
        <f>IF($C194="","",SUMIFS(WORKSHEET!I$3:I$1077,WORKSHEET!$A$3:$A$1077,$B194))</f>
        <v>227</v>
      </c>
      <c r="G194" s="66">
        <f t="shared" si="27"/>
        <v>0.88671875</v>
      </c>
      <c r="H194" s="66">
        <f>IF($C194="","",COUNTIFS(WORKSHEET!M$3:M$1077,"YES*",WORKSHEET!$A$3:$A$1077,$B194)/$D194)</f>
        <v>0.890625</v>
      </c>
      <c r="I194" s="66">
        <f>IF($C194="","",COUNTIFS(WORKSHEET!N$3:N$1077,"YES*",WORKSHEET!$A$3:$A$1077,$B194)/$D194)</f>
        <v>0.859375</v>
      </c>
      <c r="J194" s="66">
        <f>IF($C194="","",COUNTIFS(WORKSHEET!O$3:O$1077,"YES*",WORKSHEET!$A$3:$A$1077,$B194)/$D194)</f>
        <v>0.921875</v>
      </c>
      <c r="K194" s="66">
        <f>IF($C194="","",COUNTIFS(WORKSHEET!P$3:P$1077,"YES*",WORKSHEET!$A$3:$A$1077,$B194)/$D194)</f>
        <v>0.875</v>
      </c>
      <c r="L194" s="66"/>
      <c r="M194" s="66"/>
      <c r="N194" s="66"/>
      <c r="O194" s="66"/>
      <c r="P194" s="66"/>
      <c r="Q194" s="66"/>
    </row>
    <row r="195" spans="1:17" hidden="1"/>
    <row r="196" spans="1:17" hidden="1"/>
    <row r="197" spans="1:17" ht="14.25">
      <c r="A197" s="42"/>
      <c r="D197" s="53"/>
      <c r="E197" s="53"/>
      <c r="F197" s="65"/>
      <c r="G197" s="53"/>
      <c r="H197" s="53"/>
      <c r="I197" s="53"/>
      <c r="J197" s="53"/>
      <c r="K197" s="53"/>
      <c r="L197" s="53"/>
      <c r="M197" s="53"/>
      <c r="N197" s="53"/>
    </row>
  </sheetData>
  <mergeCells count="24">
    <mergeCell ref="D8:D9"/>
    <mergeCell ref="D11:D12"/>
    <mergeCell ref="D21:D22"/>
    <mergeCell ref="D23:D24"/>
    <mergeCell ref="B8:C9"/>
    <mergeCell ref="B13:C14"/>
    <mergeCell ref="D13:D14"/>
    <mergeCell ref="B15:C16"/>
    <mergeCell ref="D15:D16"/>
    <mergeCell ref="B17:C18"/>
    <mergeCell ref="D17:D18"/>
    <mergeCell ref="B19:C20"/>
    <mergeCell ref="D19:D20"/>
    <mergeCell ref="D25:D26"/>
    <mergeCell ref="B25:C26"/>
    <mergeCell ref="B23:C24"/>
    <mergeCell ref="B21:C22"/>
    <mergeCell ref="B11:C12"/>
    <mergeCell ref="D77:I77"/>
    <mergeCell ref="U77:AB77"/>
    <mergeCell ref="AC77:AJ77"/>
    <mergeCell ref="AK77:AR77"/>
    <mergeCell ref="B27:C28"/>
    <mergeCell ref="D27:D28"/>
  </mergeCells>
  <conditionalFormatting sqref="D8 D11 D21 D29:E32 D23 G8:K9 G29:J32">
    <cfRule type="colorScale" priority="73">
      <colorScale>
        <cfvo type="num" val="0.4"/>
        <cfvo type="num" val="0.75"/>
        <cfvo type="num" val="1"/>
        <color rgb="FFFF3437"/>
        <color rgb="FFFFFF00"/>
        <color rgb="FF00B050"/>
      </colorScale>
    </cfRule>
  </conditionalFormatting>
  <conditionalFormatting sqref="D15 D13">
    <cfRule type="colorScale" priority="3">
      <colorScale>
        <cfvo type="num" val="0.4"/>
        <cfvo type="num" val="0.75"/>
        <cfvo type="num" val="1"/>
        <color rgb="FFFF3437"/>
        <color rgb="FFFFFF00"/>
        <color rgb="FF00B050"/>
      </colorScale>
    </cfRule>
  </conditionalFormatting>
  <conditionalFormatting sqref="D17">
    <cfRule type="colorScale" priority="2">
      <colorScale>
        <cfvo type="num" val="0.4"/>
        <cfvo type="num" val="0.75"/>
        <cfvo type="num" val="1"/>
        <color rgb="FFFF3437"/>
        <color rgb="FFFFFF00"/>
        <color rgb="FF00B050"/>
      </colorScale>
    </cfRule>
  </conditionalFormatting>
  <conditionalFormatting sqref="D19">
    <cfRule type="colorScale" priority="1">
      <colorScale>
        <cfvo type="num" val="0.4"/>
        <cfvo type="num" val="0.75"/>
        <cfvo type="num" val="1"/>
        <color rgb="FFFF3437"/>
        <color rgb="FFFFFF00"/>
        <color rgb="FF00B050"/>
      </colorScale>
    </cfRule>
  </conditionalFormatting>
  <conditionalFormatting sqref="D25">
    <cfRule type="colorScale" priority="5">
      <colorScale>
        <cfvo type="num" val="0.4"/>
        <cfvo type="num" val="0.75"/>
        <cfvo type="num" val="1"/>
        <color rgb="FFFF3437"/>
        <color rgb="FFFFFF00"/>
        <color rgb="FF00B050"/>
      </colorScale>
    </cfRule>
  </conditionalFormatting>
  <conditionalFormatting sqref="D27">
    <cfRule type="colorScale" priority="4">
      <colorScale>
        <cfvo type="num" val="0.4"/>
        <cfvo type="num" val="0.75"/>
        <cfvo type="num" val="1"/>
        <color rgb="FFFF3437"/>
        <color rgb="FFFFFF00"/>
        <color rgb="FF00B050"/>
      </colorScale>
    </cfRule>
  </conditionalFormatting>
  <conditionalFormatting sqref="G10:K10 D10">
    <cfRule type="colorScale" priority="10">
      <colorScale>
        <cfvo type="num" val="0.4"/>
        <cfvo type="num" val="0.7"/>
        <cfvo type="num" val="1"/>
        <color rgb="FFFF3437"/>
        <color rgb="FFFFFF00"/>
        <color rgb="FF00B050"/>
      </colorScale>
    </cfRule>
  </conditionalFormatting>
  <conditionalFormatting sqref="G11:K28">
    <cfRule type="colorScale" priority="7">
      <colorScale>
        <cfvo type="num" val="0.4"/>
        <cfvo type="num" val="0.7"/>
        <cfvo type="num" val="1"/>
        <color rgb="FFFF3437"/>
        <color rgb="FFFFFF00"/>
        <color rgb="FF00B050"/>
      </colorScale>
    </cfRule>
  </conditionalFormatting>
  <conditionalFormatting sqref="H11:K28">
    <cfRule type="colorScale" priority="9">
      <colorScale>
        <cfvo type="num" val="0.4"/>
        <cfvo type="num" val="0.7"/>
        <cfvo type="num" val="1"/>
        <color rgb="FFFF3437"/>
        <color rgb="FFFFFF00"/>
        <color rgb="FF00B050"/>
      </colorScale>
    </cfRule>
  </conditionalFormatting>
  <pageMargins left="0.7" right="0.7" top="0.75" bottom="0.75" header="0.3" footer="0.3"/>
  <pageSetup scale="80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A587D-5FA9-534E-953B-4516D21ABB19}">
  <sheetPr>
    <pageSetUpPr fitToPage="1"/>
  </sheetPr>
  <dimension ref="A1:CH229"/>
  <sheetViews>
    <sheetView zoomScale="90" zoomScaleNormal="90" workbookViewId="0">
      <pane ySplit="1" topLeftCell="A2" activePane="bottomLeft" state="frozen"/>
      <selection pane="bottomLeft" activeCell="D1" sqref="D1:G1"/>
    </sheetView>
  </sheetViews>
  <sheetFormatPr defaultColWidth="10.875" defaultRowHeight="15"/>
  <cols>
    <col min="1" max="1" width="3.375" style="72" customWidth="1"/>
    <col min="2" max="3" width="20.875" style="41" customWidth="1"/>
    <col min="4" max="4" width="18.875" style="41" customWidth="1"/>
    <col min="5" max="5" width="1" style="41" customWidth="1"/>
    <col min="6" max="9" width="16.875" style="41" customWidth="1"/>
    <col min="10" max="12" width="14.375" style="41" customWidth="1"/>
    <col min="13" max="14" width="14.375" style="41" hidden="1" customWidth="1"/>
    <col min="15" max="23" width="15.875" style="41" hidden="1" customWidth="1"/>
    <col min="24" max="27" width="8.375" style="41" hidden="1" customWidth="1"/>
    <col min="28" max="51" width="8.375" style="41" customWidth="1"/>
    <col min="52" max="53" width="9.375" style="41" customWidth="1"/>
    <col min="54" max="54" width="11.625" style="41" customWidth="1"/>
    <col min="55" max="55" width="9.125" style="41" customWidth="1"/>
    <col min="56" max="56" width="10.375" style="41" customWidth="1"/>
    <col min="57" max="57" width="8.375" style="41" customWidth="1"/>
    <col min="58" max="58" width="10.375" style="41" customWidth="1"/>
    <col min="59" max="59" width="8.375" style="41" customWidth="1"/>
    <col min="60" max="61" width="9.875" style="41" customWidth="1"/>
    <col min="62" max="16384" width="10.875" style="41"/>
  </cols>
  <sheetData>
    <row r="1" spans="1:86" customFormat="1" ht="35.1" customHeight="1" thickBot="1">
      <c r="A1" s="26"/>
      <c r="B1" s="204" t="s">
        <v>22</v>
      </c>
      <c r="C1" s="205"/>
      <c r="D1" s="206" t="s">
        <v>10</v>
      </c>
      <c r="E1" s="207"/>
      <c r="F1" s="207"/>
      <c r="G1" s="208"/>
      <c r="H1" s="22"/>
      <c r="I1" s="22"/>
      <c r="J1" s="22"/>
      <c r="K1" s="26"/>
      <c r="L1" s="22"/>
      <c r="M1" s="22"/>
      <c r="N1" s="22"/>
      <c r="O1" s="22"/>
      <c r="P1" s="22"/>
      <c r="Q1" s="22"/>
      <c r="R1" s="26"/>
      <c r="S1" s="26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</row>
    <row r="2" spans="1:86" customFormat="1" ht="20.100000000000001" customHeight="1">
      <c r="A2" s="26"/>
      <c r="B2" s="1"/>
      <c r="C2" s="1" t="s">
        <v>29</v>
      </c>
      <c r="D2" s="2" t="e">
        <v>#VALUE!</v>
      </c>
      <c r="E2" s="3"/>
      <c r="F2" s="4"/>
      <c r="G2" s="4"/>
      <c r="H2" s="4"/>
      <c r="I2" s="4"/>
      <c r="J2" s="4"/>
      <c r="K2" s="1"/>
      <c r="L2" s="4"/>
      <c r="M2" s="4"/>
      <c r="N2" s="4"/>
      <c r="O2" s="4"/>
      <c r="P2" s="22"/>
      <c r="Q2" s="22"/>
      <c r="R2" s="26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</row>
    <row r="3" spans="1:86" ht="30">
      <c r="B3" s="62" t="s">
        <v>30</v>
      </c>
      <c r="C3" s="40"/>
      <c r="J3" s="42"/>
      <c r="K3" s="42"/>
      <c r="L3" s="42">
        <v>0</v>
      </c>
      <c r="M3" s="42">
        <v>2735</v>
      </c>
      <c r="N3" s="42">
        <v>4443</v>
      </c>
      <c r="O3" s="42">
        <v>109</v>
      </c>
      <c r="P3" s="42"/>
      <c r="Q3" s="42"/>
      <c r="R3" s="42"/>
      <c r="S3" s="43"/>
      <c r="T3" s="42"/>
      <c r="U3" s="42"/>
      <c r="V3" s="42"/>
      <c r="W3" s="42"/>
      <c r="X3" s="42">
        <v>0</v>
      </c>
    </row>
    <row r="4" spans="1:86" ht="27.95" customHeight="1">
      <c r="B4" s="61" t="str">
        <f>WEST!B3</f>
        <v>Reporting Period: 2025 - Q4</v>
      </c>
      <c r="C4" s="44"/>
    </row>
    <row r="5" spans="1:86" ht="15.95" customHeight="1">
      <c r="B5" s="103"/>
      <c r="C5" s="45"/>
    </row>
    <row r="6" spans="1:86" ht="15.95" customHeight="1">
      <c r="B6" s="57"/>
      <c r="C6" s="57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46" t="s">
        <v>1</v>
      </c>
      <c r="P6" s="46"/>
      <c r="Q6" s="46"/>
      <c r="R6" s="46"/>
      <c r="S6" s="46"/>
      <c r="T6" s="46"/>
      <c r="U6" s="46"/>
      <c r="V6" s="46"/>
      <c r="W6" s="46" t="s">
        <v>1</v>
      </c>
      <c r="X6" s="46"/>
      <c r="Y6" s="46"/>
      <c r="Z6" s="46"/>
      <c r="AA6" s="46"/>
      <c r="AB6" s="46"/>
      <c r="AC6" s="46"/>
      <c r="AD6" s="46"/>
      <c r="AE6" s="46" t="s">
        <v>1</v>
      </c>
      <c r="AF6" s="46"/>
      <c r="AG6" s="46"/>
      <c r="AH6" s="46"/>
      <c r="AI6" s="46"/>
      <c r="AJ6" s="46"/>
      <c r="AK6" s="46"/>
      <c r="AL6" s="46"/>
      <c r="AM6" s="46" t="s">
        <v>1</v>
      </c>
      <c r="AN6" s="46"/>
      <c r="AO6" s="46"/>
      <c r="AP6" s="46"/>
      <c r="AQ6" s="46"/>
      <c r="AR6" s="46"/>
      <c r="AS6" s="46"/>
      <c r="AT6" s="46"/>
    </row>
    <row r="7" spans="1:86" s="47" customFormat="1" ht="126.95" customHeight="1">
      <c r="A7" s="73"/>
      <c r="B7" s="90" t="s">
        <v>31</v>
      </c>
      <c r="C7" s="82"/>
      <c r="D7" s="80" t="s">
        <v>26</v>
      </c>
      <c r="E7" s="84"/>
      <c r="F7" s="127"/>
      <c r="G7" s="80" t="s">
        <v>32</v>
      </c>
      <c r="H7" s="81" t="s">
        <v>3</v>
      </c>
      <c r="I7" s="81" t="s">
        <v>4</v>
      </c>
      <c r="J7" s="81" t="s">
        <v>5</v>
      </c>
      <c r="K7" s="81" t="s">
        <v>6</v>
      </c>
      <c r="M7" s="114">
        <f>(SUM(N9:N10)/2)/$F$144</f>
        <v>0.90277777777777779</v>
      </c>
      <c r="N7" s="114">
        <f t="shared" ref="N7:R8" si="0">N9/$F$144</f>
        <v>0.88888888888888884</v>
      </c>
      <c r="O7" s="114">
        <f t="shared" si="0"/>
        <v>0.88888888888888884</v>
      </c>
      <c r="P7" s="114">
        <f t="shared" si="0"/>
        <v>0.77777777777777779</v>
      </c>
      <c r="Q7" s="114">
        <f t="shared" si="0"/>
        <v>0.94444444444444442</v>
      </c>
      <c r="R7" s="114">
        <f t="shared" si="0"/>
        <v>0.94444444444444442</v>
      </c>
      <c r="T7" s="47" t="s">
        <v>1</v>
      </c>
      <c r="V7" s="47" t="s">
        <v>1</v>
      </c>
      <c r="X7" s="47" t="s">
        <v>1</v>
      </c>
      <c r="Z7" s="47" t="s">
        <v>1</v>
      </c>
      <c r="AB7" s="47" t="s">
        <v>1</v>
      </c>
      <c r="AE7" s="48" t="s">
        <v>1</v>
      </c>
      <c r="AF7" s="48" t="s">
        <v>1</v>
      </c>
      <c r="AG7" s="48" t="s">
        <v>1</v>
      </c>
      <c r="AH7" s="48" t="s">
        <v>1</v>
      </c>
      <c r="AI7" s="48" t="s">
        <v>1</v>
      </c>
      <c r="AJ7" s="48" t="s">
        <v>1</v>
      </c>
      <c r="AK7" s="47" t="s">
        <v>1</v>
      </c>
      <c r="AM7" s="48" t="s">
        <v>1</v>
      </c>
      <c r="AN7" s="48" t="s">
        <v>1</v>
      </c>
      <c r="AO7" s="48" t="s">
        <v>1</v>
      </c>
      <c r="AP7" s="48" t="s">
        <v>1</v>
      </c>
      <c r="AQ7" s="48" t="s">
        <v>1</v>
      </c>
      <c r="AR7" s="48" t="s">
        <v>1</v>
      </c>
    </row>
    <row r="8" spans="1:86" s="47" customFormat="1" ht="9.9499999999999993" customHeight="1" thickBot="1">
      <c r="A8" s="73"/>
      <c r="B8" s="58"/>
      <c r="C8" s="58"/>
      <c r="D8" s="83"/>
      <c r="E8" s="85"/>
      <c r="F8" s="128"/>
      <c r="G8" s="135"/>
      <c r="H8" s="60"/>
      <c r="I8" s="60"/>
      <c r="J8" s="60"/>
      <c r="K8" s="60"/>
      <c r="N8" s="114">
        <f t="shared" si="0"/>
        <v>0.91666666666666663</v>
      </c>
      <c r="O8" s="114">
        <f t="shared" si="0"/>
        <v>0.94444444444444442</v>
      </c>
      <c r="P8" s="114">
        <f t="shared" si="0"/>
        <v>0.88888888888888884</v>
      </c>
      <c r="Q8" s="114">
        <f t="shared" si="0"/>
        <v>0.94444444444444442</v>
      </c>
      <c r="R8" s="114">
        <f t="shared" si="0"/>
        <v>0.88888888888888884</v>
      </c>
      <c r="AE8" s="48"/>
      <c r="AF8" s="48"/>
      <c r="AG8" s="48"/>
      <c r="AH8" s="48"/>
      <c r="AI8" s="48"/>
      <c r="AJ8" s="48"/>
      <c r="AM8" s="48"/>
      <c r="AN8" s="48"/>
      <c r="AO8" s="48"/>
      <c r="AP8" s="48"/>
      <c r="AQ8" s="48"/>
      <c r="AR8" s="48"/>
    </row>
    <row r="9" spans="1:86" s="51" customFormat="1" ht="32.1" customHeight="1">
      <c r="A9" s="74"/>
      <c r="B9" s="212" t="s">
        <v>33</v>
      </c>
      <c r="C9" s="212"/>
      <c r="D9" s="214">
        <f>M7</f>
        <v>0.90277777777777779</v>
      </c>
      <c r="E9" s="92"/>
      <c r="F9" s="132" t="s">
        <v>8</v>
      </c>
      <c r="G9" s="142">
        <f t="shared" ref="G9:K10" si="1">N7</f>
        <v>0.88888888888888884</v>
      </c>
      <c r="H9" s="140">
        <f t="shared" si="1"/>
        <v>0.88888888888888884</v>
      </c>
      <c r="I9" s="133">
        <f t="shared" si="1"/>
        <v>0.77777777777777779</v>
      </c>
      <c r="J9" s="133">
        <f t="shared" si="1"/>
        <v>0.94444444444444442</v>
      </c>
      <c r="K9" s="133">
        <f t="shared" si="1"/>
        <v>0.94444444444444442</v>
      </c>
      <c r="N9" s="49">
        <f>SUM(O9:R9)/4</f>
        <v>16</v>
      </c>
      <c r="O9" s="48">
        <f t="shared" ref="O9:R10" si="2">(O12+O14+O16+O18+O20+O22+O24+O26+O28+O30+O32+O34+O36+O38+O40+O42+O44+O46+O48+O50+O52+O54+O56+O58+O60)-$F$144</f>
        <v>16</v>
      </c>
      <c r="P9" s="48">
        <f t="shared" si="2"/>
        <v>14</v>
      </c>
      <c r="Q9" s="48">
        <f t="shared" si="2"/>
        <v>17</v>
      </c>
      <c r="R9" s="48">
        <f t="shared" si="2"/>
        <v>17</v>
      </c>
      <c r="S9" s="48"/>
      <c r="T9" s="48"/>
      <c r="U9" s="49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</row>
    <row r="10" spans="1:86" s="51" customFormat="1" ht="32.1" customHeight="1" thickBot="1">
      <c r="A10" s="74"/>
      <c r="B10" s="213"/>
      <c r="C10" s="213"/>
      <c r="D10" s="215"/>
      <c r="E10" s="92"/>
      <c r="F10" s="129" t="s">
        <v>9</v>
      </c>
      <c r="G10" s="143">
        <f t="shared" si="1"/>
        <v>0.91666666666666663</v>
      </c>
      <c r="H10" s="141">
        <f t="shared" si="1"/>
        <v>0.94444444444444442</v>
      </c>
      <c r="I10" s="134">
        <f t="shared" si="1"/>
        <v>0.88888888888888884</v>
      </c>
      <c r="J10" s="134">
        <f t="shared" si="1"/>
        <v>0.94444444444444442</v>
      </c>
      <c r="K10" s="134">
        <f t="shared" si="1"/>
        <v>0.88888888888888884</v>
      </c>
      <c r="N10" s="49">
        <f>SUM(O10:R10)/4</f>
        <v>16.5</v>
      </c>
      <c r="O10" s="48">
        <f t="shared" si="2"/>
        <v>17</v>
      </c>
      <c r="P10" s="48">
        <f t="shared" si="2"/>
        <v>16</v>
      </c>
      <c r="Q10" s="48">
        <f t="shared" si="2"/>
        <v>17</v>
      </c>
      <c r="R10" s="48">
        <f t="shared" si="2"/>
        <v>16</v>
      </c>
      <c r="S10" s="48"/>
      <c r="T10" s="48"/>
      <c r="U10" s="49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</row>
    <row r="11" spans="1:86" s="51" customFormat="1" ht="5.0999999999999996" customHeight="1" thickBot="1">
      <c r="A11" s="74"/>
      <c r="B11" s="104"/>
      <c r="C11" s="104"/>
      <c r="D11" s="92"/>
      <c r="E11" s="92"/>
      <c r="F11" s="92"/>
      <c r="G11" s="92"/>
      <c r="H11" s="105"/>
      <c r="I11" s="105"/>
      <c r="J11" s="105"/>
      <c r="K11" s="105"/>
      <c r="N11" s="49"/>
      <c r="T11" s="49"/>
      <c r="U11" s="49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</row>
    <row r="12" spans="1:86" s="47" customFormat="1" ht="30" customHeight="1">
      <c r="A12" s="74">
        <f>IF(B12="","",A10+1)</f>
        <v>1</v>
      </c>
      <c r="B12" s="211" t="str">
        <f>IF($D146="","",D146)</f>
        <v>Acura North Scottsdale</v>
      </c>
      <c r="C12" s="211"/>
      <c r="D12" s="216">
        <f>M12</f>
        <v>1</v>
      </c>
      <c r="E12" s="87"/>
      <c r="F12" s="130" t="str">
        <f>IF($A12&gt;$F$144,"",F$9)</f>
        <v>Shop 1</v>
      </c>
      <c r="G12" s="88">
        <f t="shared" ref="G12:G30" si="3">IF($AA12="","",IF($AA12="N","-",U12))</f>
        <v>1</v>
      </c>
      <c r="H12" s="106" t="str">
        <f t="shared" ref="H12:H30" si="4">IF($AA12="N","-",IF(O12=2,"✓",IF(O12=1,"✗","")))</f>
        <v>✓</v>
      </c>
      <c r="I12" s="106" t="str">
        <f t="shared" ref="I12:I30" si="5">IF($AA12="N","-",IF(P12=2,"✓",IF(P12=1,"✗","")))</f>
        <v>✓</v>
      </c>
      <c r="J12" s="106" t="str">
        <f t="shared" ref="J12:K31" si="6">IF($AA12="N","-",IF(Q12=2,"✓",IF(Q12=1,"✗","")))</f>
        <v>✓</v>
      </c>
      <c r="K12" s="106" t="str">
        <f t="shared" si="6"/>
        <v>✓</v>
      </c>
      <c r="M12" s="136">
        <f>H146</f>
        <v>1</v>
      </c>
      <c r="O12" s="48">
        <f t="shared" ref="O12:O43" si="7">IF($A12="",0,IF(V12=1,2,1))</f>
        <v>2</v>
      </c>
      <c r="P12" s="48">
        <f t="shared" ref="P12:P43" si="8">IF($A12="",0,IF(W12=1,2,1))</f>
        <v>2</v>
      </c>
      <c r="Q12" s="48">
        <f t="shared" ref="Q12:Q43" si="9">IF($A12="",0,IF(X12=1,2,1))</f>
        <v>2</v>
      </c>
      <c r="R12" s="48">
        <f t="shared" ref="R12:R43" si="10">IF($A12="",0,IF(Y12=1,2,1))</f>
        <v>2</v>
      </c>
      <c r="S12" s="48">
        <f>IF(SUM(O12:R12)=0,0,SUM(O12:R12)-4)</f>
        <v>4</v>
      </c>
      <c r="T12" s="48">
        <f t="shared" ref="T12:T26" si="11">IF(AA12="N",0,IF(SUM(O12:R12)=0,0,4))</f>
        <v>4</v>
      </c>
      <c r="U12" s="113">
        <f>IF(AA12="N","",IF(SUM(O12:R12)=0,0,S12/T12))</f>
        <v>1</v>
      </c>
      <c r="V12" s="48">
        <f>IFERROR(VLOOKUP($B12,$D$174:$L$198,6,FALSE),"")</f>
        <v>1</v>
      </c>
      <c r="W12" s="48">
        <f>IFERROR(VLOOKUP($B12,$D$174:$L$198,7,FALSE),"")</f>
        <v>1</v>
      </c>
      <c r="X12" s="48">
        <f>IFERROR(VLOOKUP($B12,$D$174:$L$198,8,FALSE),"")</f>
        <v>1</v>
      </c>
      <c r="Y12" s="48">
        <f>IFERROR(VLOOKUP($B12,$D$174:$L$198,9,FALSE),"")</f>
        <v>1</v>
      </c>
      <c r="Z12" s="48"/>
      <c r="AA12" s="48" t="str">
        <f>IF(B12="","",IF(V12="","N","Y"))</f>
        <v>Y</v>
      </c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</row>
    <row r="13" spans="1:86" s="39" customFormat="1" ht="30" customHeight="1">
      <c r="A13" s="74">
        <f>IF(B12="","",A10+1)</f>
        <v>1</v>
      </c>
      <c r="B13" s="210"/>
      <c r="C13" s="210"/>
      <c r="D13" s="197"/>
      <c r="E13" s="87"/>
      <c r="F13" s="131" t="str">
        <f>IF($A13&gt;$F$144,"",F$10)</f>
        <v>Shop 2</v>
      </c>
      <c r="G13" s="89">
        <f t="shared" si="3"/>
        <v>1</v>
      </c>
      <c r="H13" s="107" t="str">
        <f t="shared" si="4"/>
        <v>✓</v>
      </c>
      <c r="I13" s="107" t="str">
        <f t="shared" si="5"/>
        <v>✓</v>
      </c>
      <c r="J13" s="107" t="str">
        <f t="shared" si="6"/>
        <v>✓</v>
      </c>
      <c r="K13" s="107" t="str">
        <f t="shared" si="6"/>
        <v>✓</v>
      </c>
      <c r="O13" s="48">
        <f t="shared" si="7"/>
        <v>2</v>
      </c>
      <c r="P13" s="48">
        <f t="shared" si="8"/>
        <v>2</v>
      </c>
      <c r="Q13" s="48">
        <f t="shared" si="9"/>
        <v>2</v>
      </c>
      <c r="R13" s="48">
        <f t="shared" si="10"/>
        <v>2</v>
      </c>
      <c r="S13" s="48">
        <f>IF(SUM(O13:R13)=0,0,SUM(O13:R13)-4)</f>
        <v>4</v>
      </c>
      <c r="T13" s="48">
        <f t="shared" si="11"/>
        <v>4</v>
      </c>
      <c r="U13" s="113">
        <f t="shared" ref="U13:U61" si="12">IF(AA13="N","",IF(SUM(O13:R13)=0,0,S13/T13))</f>
        <v>1</v>
      </c>
      <c r="V13" s="48">
        <f>IFERROR(VLOOKUP($B12,$D$202:$L$226,6,FALSE),"")</f>
        <v>1</v>
      </c>
      <c r="W13" s="48">
        <f>IFERROR(VLOOKUP($B12,$D$202:$L$226,7,FALSE),"")</f>
        <v>1</v>
      </c>
      <c r="X13" s="48">
        <f>IFERROR(VLOOKUP($B12,$D$202:$L$226,8,FALSE),"")</f>
        <v>1</v>
      </c>
      <c r="Y13" s="48">
        <f>IFERROR(VLOOKUP($B12,$D$202:$L$226,9,FALSE),"")</f>
        <v>1</v>
      </c>
      <c r="AA13" s="48" t="str">
        <f>IF(B12="","",IF(V13="","N","Y"))</f>
        <v>Y</v>
      </c>
    </row>
    <row r="14" spans="1:86" s="47" customFormat="1" ht="30" customHeight="1">
      <c r="A14" s="74">
        <f>IF(B14="","",A12+1)</f>
        <v>2</v>
      </c>
      <c r="B14" s="209" t="str">
        <f>IF($D147="","",D147)</f>
        <v>Audi Chandler</v>
      </c>
      <c r="C14" s="209"/>
      <c r="D14" s="197">
        <f>M14</f>
        <v>1</v>
      </c>
      <c r="E14" s="87"/>
      <c r="F14" s="130" t="str">
        <f>IF($A14&gt;$F$144,"",F$9)</f>
        <v>Shop 1</v>
      </c>
      <c r="G14" s="89">
        <f t="shared" si="3"/>
        <v>1</v>
      </c>
      <c r="H14" s="107" t="str">
        <f t="shared" si="4"/>
        <v>✓</v>
      </c>
      <c r="I14" s="107" t="str">
        <f t="shared" si="5"/>
        <v>✓</v>
      </c>
      <c r="J14" s="107" t="str">
        <f t="shared" si="6"/>
        <v>✓</v>
      </c>
      <c r="K14" s="107" t="str">
        <f t="shared" si="6"/>
        <v>✓</v>
      </c>
      <c r="M14" s="136">
        <f>H147</f>
        <v>1</v>
      </c>
      <c r="O14" s="48">
        <f t="shared" si="7"/>
        <v>2</v>
      </c>
      <c r="P14" s="48">
        <f t="shared" si="8"/>
        <v>2</v>
      </c>
      <c r="Q14" s="48">
        <f t="shared" si="9"/>
        <v>2</v>
      </c>
      <c r="R14" s="48">
        <f t="shared" si="10"/>
        <v>2</v>
      </c>
      <c r="S14" s="48">
        <f t="shared" ref="S14:S50" si="13">IF(SUM(O14:R14)=0,0,SUM(O14:R14)-4)</f>
        <v>4</v>
      </c>
      <c r="T14" s="48">
        <f t="shared" si="11"/>
        <v>4</v>
      </c>
      <c r="U14" s="113">
        <f t="shared" si="12"/>
        <v>1</v>
      </c>
      <c r="V14" s="48">
        <f>IFERROR(VLOOKUP($B14,$D$174:$L$198,6,FALSE),"")</f>
        <v>1</v>
      </c>
      <c r="W14" s="48">
        <f>IFERROR(VLOOKUP($B14,$D$174:$L$198,7,FALSE),"")</f>
        <v>1</v>
      </c>
      <c r="X14" s="48">
        <f>IFERROR(VLOOKUP($B14,$D$174:$L$198,8,FALSE),"")</f>
        <v>1</v>
      </c>
      <c r="Y14" s="48">
        <f>IFERROR(VLOOKUP($B14,$D$174:$L$198,9,FALSE),"")</f>
        <v>1</v>
      </c>
      <c r="Z14" s="48"/>
      <c r="AA14" s="48" t="str">
        <f>IF(B14="","",IF(V14="","N","Y"))</f>
        <v>Y</v>
      </c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</row>
    <row r="15" spans="1:86" s="39" customFormat="1" ht="30" customHeight="1">
      <c r="A15" s="74">
        <f>IF(B14="","",A12+1)</f>
        <v>2</v>
      </c>
      <c r="B15" s="210"/>
      <c r="C15" s="210"/>
      <c r="D15" s="197"/>
      <c r="E15" s="87"/>
      <c r="F15" s="131" t="str">
        <f>IF($A15&gt;$F$144,"",F$10)</f>
        <v>Shop 2</v>
      </c>
      <c r="G15" s="89">
        <f t="shared" si="3"/>
        <v>1</v>
      </c>
      <c r="H15" s="107" t="str">
        <f t="shared" si="4"/>
        <v>✓</v>
      </c>
      <c r="I15" s="107" t="str">
        <f t="shared" si="5"/>
        <v>✓</v>
      </c>
      <c r="J15" s="107" t="str">
        <f t="shared" si="6"/>
        <v>✓</v>
      </c>
      <c r="K15" s="107" t="str">
        <f t="shared" si="6"/>
        <v>✓</v>
      </c>
      <c r="O15" s="48">
        <f t="shared" si="7"/>
        <v>2</v>
      </c>
      <c r="P15" s="48">
        <f t="shared" si="8"/>
        <v>2</v>
      </c>
      <c r="Q15" s="48">
        <f t="shared" si="9"/>
        <v>2</v>
      </c>
      <c r="R15" s="48">
        <f t="shared" si="10"/>
        <v>2</v>
      </c>
      <c r="S15" s="48">
        <f>IF(SUM(O15:R15)=0,0,SUM(O15:R15)-4)</f>
        <v>4</v>
      </c>
      <c r="T15" s="48">
        <f t="shared" si="11"/>
        <v>4</v>
      </c>
      <c r="U15" s="113">
        <f t="shared" si="12"/>
        <v>1</v>
      </c>
      <c r="V15" s="48">
        <f>IFERROR(VLOOKUP($B14,$D$202:$L$226,6,FALSE),"")</f>
        <v>1</v>
      </c>
      <c r="W15" s="48">
        <f>IFERROR(VLOOKUP($B14,$D$202:$L$226,7,FALSE),"")</f>
        <v>1</v>
      </c>
      <c r="X15" s="48">
        <f>IFERROR(VLOOKUP($B14,$D$202:$L$226,8,FALSE),"")</f>
        <v>1</v>
      </c>
      <c r="Y15" s="48">
        <f>IFERROR(VLOOKUP($B14,$D$202:$L$226,9,FALSE),"")</f>
        <v>1</v>
      </c>
      <c r="AA15" s="48" t="str">
        <f>IF(B14="","",IF(V15="","N","Y"))</f>
        <v>Y</v>
      </c>
    </row>
    <row r="16" spans="1:86" s="47" customFormat="1" ht="30" customHeight="1">
      <c r="A16" s="74">
        <f>IF(B16="","",A14+1)</f>
        <v>3</v>
      </c>
      <c r="B16" s="209" t="str">
        <f>IF($D148="","",D148)</f>
        <v>Audi North Scottsdale</v>
      </c>
      <c r="C16" s="209"/>
      <c r="D16" s="197">
        <f>M16</f>
        <v>1</v>
      </c>
      <c r="E16" s="87"/>
      <c r="F16" s="130" t="str">
        <f>IF($A16&gt;$F$144,"",F$9)</f>
        <v>Shop 1</v>
      </c>
      <c r="G16" s="89">
        <f t="shared" si="3"/>
        <v>1</v>
      </c>
      <c r="H16" s="107" t="str">
        <f t="shared" si="4"/>
        <v>✓</v>
      </c>
      <c r="I16" s="107" t="str">
        <f t="shared" si="5"/>
        <v>✓</v>
      </c>
      <c r="J16" s="107" t="str">
        <f t="shared" si="6"/>
        <v>✓</v>
      </c>
      <c r="K16" s="107" t="str">
        <f t="shared" si="6"/>
        <v>✓</v>
      </c>
      <c r="M16" s="136">
        <f>H148</f>
        <v>1</v>
      </c>
      <c r="O16" s="48">
        <f t="shared" si="7"/>
        <v>2</v>
      </c>
      <c r="P16" s="48">
        <f t="shared" si="8"/>
        <v>2</v>
      </c>
      <c r="Q16" s="48">
        <f t="shared" si="9"/>
        <v>2</v>
      </c>
      <c r="R16" s="48">
        <f t="shared" si="10"/>
        <v>2</v>
      </c>
      <c r="S16" s="48">
        <f t="shared" si="13"/>
        <v>4</v>
      </c>
      <c r="T16" s="48">
        <f t="shared" si="11"/>
        <v>4</v>
      </c>
      <c r="U16" s="113">
        <f t="shared" si="12"/>
        <v>1</v>
      </c>
      <c r="V16" s="48">
        <f>IFERROR(VLOOKUP($B16,$D$174:$L$198,6,FALSE),"")</f>
        <v>1</v>
      </c>
      <c r="W16" s="48">
        <f>IFERROR(VLOOKUP($B16,$D$174:$L$198,7,FALSE),"")</f>
        <v>1</v>
      </c>
      <c r="X16" s="48">
        <f>IFERROR(VLOOKUP($B16,$D$174:$L$198,8,FALSE),"")</f>
        <v>1</v>
      </c>
      <c r="Y16" s="48">
        <f>IFERROR(VLOOKUP($B16,$D$174:$L$198,9,FALSE),"")</f>
        <v>1</v>
      </c>
      <c r="Z16" s="48"/>
      <c r="AA16" s="48" t="str">
        <f>IF(B16="","",IF(V16="","N","Y"))</f>
        <v>Y</v>
      </c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</row>
    <row r="17" spans="1:44" s="39" customFormat="1" ht="30" customHeight="1">
      <c r="A17" s="74">
        <f>IF(B16="","",A14+1)</f>
        <v>3</v>
      </c>
      <c r="B17" s="210"/>
      <c r="C17" s="210"/>
      <c r="D17" s="197"/>
      <c r="E17" s="87"/>
      <c r="F17" s="131" t="str">
        <f>IF($A17&gt;$F$144,"",F$10)</f>
        <v>Shop 2</v>
      </c>
      <c r="G17" s="89">
        <f t="shared" si="3"/>
        <v>1</v>
      </c>
      <c r="H17" s="107" t="str">
        <f t="shared" si="4"/>
        <v>✓</v>
      </c>
      <c r="I17" s="107" t="str">
        <f t="shared" si="5"/>
        <v>✓</v>
      </c>
      <c r="J17" s="107" t="str">
        <f t="shared" si="6"/>
        <v>✓</v>
      </c>
      <c r="K17" s="107" t="str">
        <f t="shared" si="6"/>
        <v>✓</v>
      </c>
      <c r="O17" s="48">
        <f t="shared" si="7"/>
        <v>2</v>
      </c>
      <c r="P17" s="48">
        <f t="shared" si="8"/>
        <v>2</v>
      </c>
      <c r="Q17" s="48">
        <f t="shared" si="9"/>
        <v>2</v>
      </c>
      <c r="R17" s="48">
        <f t="shared" si="10"/>
        <v>2</v>
      </c>
      <c r="S17" s="48">
        <f>IF(SUM(O17:R17)=0,0,SUM(O17:R17)-4)</f>
        <v>4</v>
      </c>
      <c r="T17" s="48">
        <f t="shared" si="11"/>
        <v>4</v>
      </c>
      <c r="U17" s="113">
        <f t="shared" si="12"/>
        <v>1</v>
      </c>
      <c r="V17" s="48">
        <f>IFERROR(VLOOKUP($B16,$D$202:$L$226,6,FALSE),"")</f>
        <v>1</v>
      </c>
      <c r="W17" s="48">
        <f>IFERROR(VLOOKUP($B16,$D$202:$L$226,7,FALSE),"")</f>
        <v>1</v>
      </c>
      <c r="X17" s="48">
        <f>IFERROR(VLOOKUP($B16,$D$202:$L$226,8,FALSE),"")</f>
        <v>1</v>
      </c>
      <c r="Y17" s="48">
        <f>IFERROR(VLOOKUP($B16,$D$202:$L$226,9,FALSE),"")</f>
        <v>1</v>
      </c>
      <c r="AA17" s="48" t="str">
        <f>IF(B16="","",IF(V17="","N","Y"))</f>
        <v>Y</v>
      </c>
    </row>
    <row r="18" spans="1:44" s="47" customFormat="1" ht="30" customHeight="1">
      <c r="A18" s="74">
        <f>IF(B18="","",A16+1)</f>
        <v>4</v>
      </c>
      <c r="B18" s="209" t="str">
        <f>IF($D149="","",D149)</f>
        <v>Bentley Scottsdale</v>
      </c>
      <c r="C18" s="209"/>
      <c r="D18" s="197">
        <f>M18</f>
        <v>0.75</v>
      </c>
      <c r="E18" s="87"/>
      <c r="F18" s="130" t="str">
        <f>IF($A18&gt;$F$144,"",F$9)</f>
        <v>Shop 1</v>
      </c>
      <c r="G18" s="89">
        <f t="shared" si="3"/>
        <v>0.5</v>
      </c>
      <c r="H18" s="107" t="str">
        <f t="shared" si="4"/>
        <v>✗</v>
      </c>
      <c r="I18" s="107" t="str">
        <f t="shared" si="5"/>
        <v>✗</v>
      </c>
      <c r="J18" s="107" t="str">
        <f t="shared" si="6"/>
        <v>✓</v>
      </c>
      <c r="K18" s="107" t="str">
        <f t="shared" si="6"/>
        <v>✓</v>
      </c>
      <c r="M18" s="136">
        <f>H149</f>
        <v>0.75</v>
      </c>
      <c r="O18" s="48">
        <f t="shared" si="7"/>
        <v>1</v>
      </c>
      <c r="P18" s="48">
        <f t="shared" si="8"/>
        <v>1</v>
      </c>
      <c r="Q18" s="48">
        <f t="shared" si="9"/>
        <v>2</v>
      </c>
      <c r="R18" s="48">
        <f t="shared" si="10"/>
        <v>2</v>
      </c>
      <c r="S18" s="48">
        <f t="shared" si="13"/>
        <v>2</v>
      </c>
      <c r="T18" s="48">
        <f t="shared" si="11"/>
        <v>4</v>
      </c>
      <c r="U18" s="113">
        <f t="shared" si="12"/>
        <v>0.5</v>
      </c>
      <c r="V18" s="48">
        <f>IFERROR(VLOOKUP($B18,$D$174:$L$198,6,FALSE),"")</f>
        <v>0</v>
      </c>
      <c r="W18" s="48">
        <f>IFERROR(VLOOKUP($B18,$D$174:$L$198,7,FALSE),"")</f>
        <v>0</v>
      </c>
      <c r="X18" s="48">
        <f>IFERROR(VLOOKUP($B18,$D$174:$L$198,8,FALSE),"")</f>
        <v>1</v>
      </c>
      <c r="Y18" s="48">
        <f>IFERROR(VLOOKUP($B18,$D$174:$L$198,9,FALSE),"")</f>
        <v>1</v>
      </c>
      <c r="Z18" s="48"/>
      <c r="AA18" s="48" t="str">
        <f>IF(B18="","",IF(V18="","N","Y"))</f>
        <v>Y</v>
      </c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</row>
    <row r="19" spans="1:44" s="39" customFormat="1" ht="30" customHeight="1">
      <c r="A19" s="74">
        <f>IF(B18="","",A16+1)</f>
        <v>4</v>
      </c>
      <c r="B19" s="210"/>
      <c r="C19" s="210"/>
      <c r="D19" s="197"/>
      <c r="E19" s="87"/>
      <c r="F19" s="131" t="str">
        <f>IF($A19&gt;$F$144,"",F$10)</f>
        <v>Shop 2</v>
      </c>
      <c r="G19" s="89">
        <f t="shared" si="3"/>
        <v>1</v>
      </c>
      <c r="H19" s="107" t="str">
        <f t="shared" si="4"/>
        <v>✓</v>
      </c>
      <c r="I19" s="107" t="str">
        <f t="shared" si="5"/>
        <v>✓</v>
      </c>
      <c r="J19" s="107" t="str">
        <f t="shared" si="6"/>
        <v>✓</v>
      </c>
      <c r="K19" s="107" t="str">
        <f t="shared" si="6"/>
        <v>✓</v>
      </c>
      <c r="O19" s="48">
        <f t="shared" si="7"/>
        <v>2</v>
      </c>
      <c r="P19" s="48">
        <f t="shared" si="8"/>
        <v>2</v>
      </c>
      <c r="Q19" s="48">
        <f t="shared" si="9"/>
        <v>2</v>
      </c>
      <c r="R19" s="48">
        <f t="shared" si="10"/>
        <v>2</v>
      </c>
      <c r="S19" s="48">
        <f>IF(SUM(O19:R19)=0,0,SUM(O19:R19)-4)</f>
        <v>4</v>
      </c>
      <c r="T19" s="48">
        <f t="shared" si="11"/>
        <v>4</v>
      </c>
      <c r="U19" s="113">
        <f t="shared" si="12"/>
        <v>1</v>
      </c>
      <c r="V19" s="48">
        <f>IFERROR(VLOOKUP($B18,$D$202:$L$226,6,FALSE),"")</f>
        <v>1</v>
      </c>
      <c r="W19" s="48">
        <f>IFERROR(VLOOKUP($B18,$D$202:$L$226,7,FALSE),"")</f>
        <v>1</v>
      </c>
      <c r="X19" s="48">
        <f>IFERROR(VLOOKUP($B18,$D$202:$L$226,8,FALSE),"")</f>
        <v>1</v>
      </c>
      <c r="Y19" s="48">
        <f>IFERROR(VLOOKUP($B18,$D$202:$L$226,9,FALSE),"")</f>
        <v>1</v>
      </c>
      <c r="AA19" s="48" t="str">
        <f>IF(B18="","",IF(V19="","N","Y"))</f>
        <v>Y</v>
      </c>
    </row>
    <row r="20" spans="1:44" s="47" customFormat="1" ht="30" customHeight="1">
      <c r="A20" s="74">
        <f>IF(B20="","",A18+1)</f>
        <v>5</v>
      </c>
      <c r="B20" s="209" t="str">
        <f>IF($D150="","",D150)</f>
        <v>BMW North Scottsdale</v>
      </c>
      <c r="C20" s="209"/>
      <c r="D20" s="197">
        <f>M20</f>
        <v>1</v>
      </c>
      <c r="E20" s="87"/>
      <c r="F20" s="130" t="str">
        <f>IF($A20&gt;$F$144,"",F$9)</f>
        <v>Shop 1</v>
      </c>
      <c r="G20" s="89">
        <f t="shared" si="3"/>
        <v>1</v>
      </c>
      <c r="H20" s="107" t="str">
        <f t="shared" si="4"/>
        <v>✓</v>
      </c>
      <c r="I20" s="107" t="str">
        <f t="shared" si="5"/>
        <v>✓</v>
      </c>
      <c r="J20" s="107" t="str">
        <f t="shared" si="6"/>
        <v>✓</v>
      </c>
      <c r="K20" s="107" t="str">
        <f t="shared" si="6"/>
        <v>✓</v>
      </c>
      <c r="M20" s="136">
        <f>H150</f>
        <v>1</v>
      </c>
      <c r="O20" s="48">
        <f t="shared" si="7"/>
        <v>2</v>
      </c>
      <c r="P20" s="48">
        <f t="shared" si="8"/>
        <v>2</v>
      </c>
      <c r="Q20" s="48">
        <f t="shared" si="9"/>
        <v>2</v>
      </c>
      <c r="R20" s="48">
        <f t="shared" si="10"/>
        <v>2</v>
      </c>
      <c r="S20" s="48">
        <f t="shared" si="13"/>
        <v>4</v>
      </c>
      <c r="T20" s="48">
        <f t="shared" si="11"/>
        <v>4</v>
      </c>
      <c r="U20" s="113">
        <f t="shared" si="12"/>
        <v>1</v>
      </c>
      <c r="V20" s="48">
        <f>IFERROR(VLOOKUP($B20,$D$174:$L$198,6,FALSE),"")</f>
        <v>1</v>
      </c>
      <c r="W20" s="48">
        <f>IFERROR(VLOOKUP($B20,$D$174:$L$198,7,FALSE),"")</f>
        <v>1</v>
      </c>
      <c r="X20" s="48">
        <f>IFERROR(VLOOKUP($B20,$D$174:$L$198,8,FALSE),"")</f>
        <v>1</v>
      </c>
      <c r="Y20" s="48">
        <f>IFERROR(VLOOKUP($B20,$D$174:$L$198,9,FALSE),"")</f>
        <v>1</v>
      </c>
      <c r="Z20" s="48"/>
      <c r="AA20" s="48" t="str">
        <f>IF(B20="","",IF(V20="","N","Y"))</f>
        <v>Y</v>
      </c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</row>
    <row r="21" spans="1:44" s="39" customFormat="1" ht="30" customHeight="1">
      <c r="A21" s="74">
        <f>IF(B20="","",A18+1)</f>
        <v>5</v>
      </c>
      <c r="B21" s="210"/>
      <c r="C21" s="210"/>
      <c r="D21" s="197"/>
      <c r="E21" s="87"/>
      <c r="F21" s="131" t="str">
        <f>IF($A21&gt;$F$144,"",F$10)</f>
        <v>Shop 2</v>
      </c>
      <c r="G21" s="89">
        <f t="shared" si="3"/>
        <v>1</v>
      </c>
      <c r="H21" s="107" t="str">
        <f t="shared" si="4"/>
        <v>✓</v>
      </c>
      <c r="I21" s="107" t="str">
        <f t="shared" si="5"/>
        <v>✓</v>
      </c>
      <c r="J21" s="107" t="str">
        <f t="shared" si="6"/>
        <v>✓</v>
      </c>
      <c r="K21" s="107" t="str">
        <f t="shared" si="6"/>
        <v>✓</v>
      </c>
      <c r="O21" s="48">
        <f t="shared" si="7"/>
        <v>2</v>
      </c>
      <c r="P21" s="48">
        <f t="shared" si="8"/>
        <v>2</v>
      </c>
      <c r="Q21" s="48">
        <f t="shared" si="9"/>
        <v>2</v>
      </c>
      <c r="R21" s="48">
        <f t="shared" si="10"/>
        <v>2</v>
      </c>
      <c r="S21" s="48">
        <f>IF(SUM(O21:R21)=0,0,SUM(O21:R21)-4)</f>
        <v>4</v>
      </c>
      <c r="T21" s="48">
        <f t="shared" si="11"/>
        <v>4</v>
      </c>
      <c r="U21" s="113">
        <f t="shared" si="12"/>
        <v>1</v>
      </c>
      <c r="V21" s="48">
        <f>IFERROR(VLOOKUP($B20,$D$202:$L$226,6,FALSE),"")</f>
        <v>1</v>
      </c>
      <c r="W21" s="48">
        <f>IFERROR(VLOOKUP($B20,$D$202:$L$226,7,FALSE),"")</f>
        <v>1</v>
      </c>
      <c r="X21" s="48">
        <f>IFERROR(VLOOKUP($B20,$D$202:$L$226,8,FALSE),"")</f>
        <v>1</v>
      </c>
      <c r="Y21" s="48">
        <f>IFERROR(VLOOKUP($B20,$D$202:$L$226,9,FALSE),"")</f>
        <v>1</v>
      </c>
      <c r="AA21" s="48" t="str">
        <f>IF(B20="","",IF(V21="","N","Y"))</f>
        <v>Y</v>
      </c>
    </row>
    <row r="22" spans="1:44" s="47" customFormat="1" ht="30" customHeight="1">
      <c r="A22" s="74">
        <f>IF(B22="","",A20+1)</f>
        <v>6</v>
      </c>
      <c r="B22" s="209" t="str">
        <f>IF($D151="","",D151)</f>
        <v>Lamborghini North Scottsdale</v>
      </c>
      <c r="C22" s="209"/>
      <c r="D22" s="197">
        <f>M22</f>
        <v>0.75</v>
      </c>
      <c r="E22" s="87"/>
      <c r="F22" s="130" t="str">
        <f>IF($A22&gt;$F$144,"",F$9)</f>
        <v>Shop 1</v>
      </c>
      <c r="G22" s="89">
        <f t="shared" si="3"/>
        <v>1</v>
      </c>
      <c r="H22" s="107" t="str">
        <f t="shared" si="4"/>
        <v>✓</v>
      </c>
      <c r="I22" s="107" t="str">
        <f t="shared" si="5"/>
        <v>✓</v>
      </c>
      <c r="J22" s="107" t="str">
        <f t="shared" si="6"/>
        <v>✓</v>
      </c>
      <c r="K22" s="107" t="str">
        <f t="shared" si="6"/>
        <v>✓</v>
      </c>
      <c r="M22" s="136">
        <f>H151</f>
        <v>0.75</v>
      </c>
      <c r="O22" s="48">
        <f t="shared" si="7"/>
        <v>2</v>
      </c>
      <c r="P22" s="48">
        <f t="shared" si="8"/>
        <v>2</v>
      </c>
      <c r="Q22" s="48">
        <f t="shared" si="9"/>
        <v>2</v>
      </c>
      <c r="R22" s="48">
        <f t="shared" si="10"/>
        <v>2</v>
      </c>
      <c r="S22" s="48">
        <f t="shared" si="13"/>
        <v>4</v>
      </c>
      <c r="T22" s="48">
        <f t="shared" si="11"/>
        <v>4</v>
      </c>
      <c r="U22" s="113">
        <f t="shared" si="12"/>
        <v>1</v>
      </c>
      <c r="V22" s="48">
        <f>IFERROR(VLOOKUP($B22,$D$174:$L$198,6,FALSE),"")</f>
        <v>1</v>
      </c>
      <c r="W22" s="48">
        <f>IFERROR(VLOOKUP($B22,$D$174:$L$198,7,FALSE),"")</f>
        <v>1</v>
      </c>
      <c r="X22" s="48">
        <f>IFERROR(VLOOKUP($B22,$D$174:$L$198,8,FALSE),"")</f>
        <v>1</v>
      </c>
      <c r="Y22" s="48">
        <f>IFERROR(VLOOKUP($B22,$D$174:$L$198,9,FALSE),"")</f>
        <v>1</v>
      </c>
      <c r="Z22" s="48"/>
      <c r="AA22" s="48" t="str">
        <f>IF(B22="","",IF(V22="","N","Y"))</f>
        <v>Y</v>
      </c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</row>
    <row r="23" spans="1:44" s="39" customFormat="1" ht="30" customHeight="1">
      <c r="A23" s="74">
        <f>IF(B22="","",A20+1)</f>
        <v>6</v>
      </c>
      <c r="B23" s="210"/>
      <c r="C23" s="210"/>
      <c r="D23" s="197"/>
      <c r="E23" s="87"/>
      <c r="F23" s="131" t="str">
        <f>IF($A23&gt;$F$144,"",F$10)</f>
        <v>Shop 2</v>
      </c>
      <c r="G23" s="89">
        <f t="shared" si="3"/>
        <v>0.5</v>
      </c>
      <c r="H23" s="107" t="str">
        <f t="shared" si="4"/>
        <v>✓</v>
      </c>
      <c r="I23" s="107" t="str">
        <f t="shared" si="5"/>
        <v>✓</v>
      </c>
      <c r="J23" s="107" t="str">
        <f t="shared" si="6"/>
        <v>✗</v>
      </c>
      <c r="K23" s="107" t="str">
        <f t="shared" si="6"/>
        <v>✗</v>
      </c>
      <c r="O23" s="48">
        <f t="shared" si="7"/>
        <v>2</v>
      </c>
      <c r="P23" s="48">
        <f t="shared" si="8"/>
        <v>2</v>
      </c>
      <c r="Q23" s="48">
        <f t="shared" si="9"/>
        <v>1</v>
      </c>
      <c r="R23" s="48">
        <f t="shared" si="10"/>
        <v>1</v>
      </c>
      <c r="S23" s="48">
        <f>IF(SUM(O23:R23)=0,0,SUM(O23:R23)-4)</f>
        <v>2</v>
      </c>
      <c r="T23" s="48">
        <f t="shared" si="11"/>
        <v>4</v>
      </c>
      <c r="U23" s="113">
        <f t="shared" si="12"/>
        <v>0.5</v>
      </c>
      <c r="V23" s="48">
        <f>IFERROR(VLOOKUP($B22,$D$202:$L$226,6,FALSE),"")</f>
        <v>1</v>
      </c>
      <c r="W23" s="48">
        <f>IFERROR(VLOOKUP($B22,$D$202:$L$226,7,FALSE),"")</f>
        <v>1</v>
      </c>
      <c r="X23" s="48">
        <f>IFERROR(VLOOKUP($B22,$D$202:$L$226,8,FALSE),"")</f>
        <v>0</v>
      </c>
      <c r="Y23" s="48">
        <f>IFERROR(VLOOKUP($B22,$D$202:$L$226,9,FALSE),"")</f>
        <v>0</v>
      </c>
      <c r="AA23" s="48" t="str">
        <f>IF(B22="","",IF(V23="","N","Y"))</f>
        <v>Y</v>
      </c>
    </row>
    <row r="24" spans="1:44" s="45" customFormat="1" ht="30" customHeight="1">
      <c r="A24" s="74">
        <f>IF(B24="","",A22+1)</f>
        <v>7</v>
      </c>
      <c r="B24" s="209" t="str">
        <f>IF($D152="","",D152)</f>
        <v>Land Rover Chandler</v>
      </c>
      <c r="C24" s="209"/>
      <c r="D24" s="197">
        <f>M24</f>
        <v>1</v>
      </c>
      <c r="E24" s="87"/>
      <c r="F24" s="130" t="str">
        <f>IF($A24&gt;$F$144,"",F$9)</f>
        <v>Shop 1</v>
      </c>
      <c r="G24" s="89">
        <f t="shared" si="3"/>
        <v>1</v>
      </c>
      <c r="H24" s="107" t="str">
        <f t="shared" si="4"/>
        <v>✓</v>
      </c>
      <c r="I24" s="107" t="str">
        <f t="shared" si="5"/>
        <v>✓</v>
      </c>
      <c r="J24" s="107" t="str">
        <f t="shared" si="6"/>
        <v>✓</v>
      </c>
      <c r="K24" s="107" t="str">
        <f t="shared" si="6"/>
        <v>✓</v>
      </c>
      <c r="M24" s="137">
        <f>H152</f>
        <v>1</v>
      </c>
      <c r="O24" s="48">
        <f t="shared" si="7"/>
        <v>2</v>
      </c>
      <c r="P24" s="48">
        <f t="shared" si="8"/>
        <v>2</v>
      </c>
      <c r="Q24" s="48">
        <f t="shared" si="9"/>
        <v>2</v>
      </c>
      <c r="R24" s="48">
        <f t="shared" si="10"/>
        <v>2</v>
      </c>
      <c r="S24" s="48">
        <f t="shared" si="13"/>
        <v>4</v>
      </c>
      <c r="T24" s="48">
        <f t="shared" si="11"/>
        <v>4</v>
      </c>
      <c r="U24" s="113">
        <f t="shared" si="12"/>
        <v>1</v>
      </c>
      <c r="V24" s="48">
        <f>IFERROR(VLOOKUP($B24,$D$174:$L$198,6,FALSE),"")</f>
        <v>1</v>
      </c>
      <c r="W24" s="48">
        <f>IFERROR(VLOOKUP($B24,$D$174:$L$198,7,FALSE),"")</f>
        <v>1</v>
      </c>
      <c r="X24" s="48">
        <f>IFERROR(VLOOKUP($B24,$D$174:$L$198,8,FALSE),"")</f>
        <v>1</v>
      </c>
      <c r="Y24" s="48">
        <f>IFERROR(VLOOKUP($B24,$D$174:$L$198,9,FALSE),"")</f>
        <v>1</v>
      </c>
      <c r="AA24" s="48" t="str">
        <f>IF(B24="","",IF(V24="","N","Y"))</f>
        <v>Y</v>
      </c>
    </row>
    <row r="25" spans="1:44" s="39" customFormat="1" ht="30" customHeight="1">
      <c r="A25" s="74">
        <f>IF(B24="","",A22+1)</f>
        <v>7</v>
      </c>
      <c r="B25" s="210"/>
      <c r="C25" s="210"/>
      <c r="D25" s="197"/>
      <c r="E25" s="87"/>
      <c r="F25" s="131" t="str">
        <f>IF($A25&gt;$F$144,"",F$10)</f>
        <v>Shop 2</v>
      </c>
      <c r="G25" s="89">
        <f t="shared" si="3"/>
        <v>1</v>
      </c>
      <c r="H25" s="107" t="str">
        <f t="shared" si="4"/>
        <v>✓</v>
      </c>
      <c r="I25" s="107" t="str">
        <f t="shared" si="5"/>
        <v>✓</v>
      </c>
      <c r="J25" s="107" t="str">
        <f t="shared" si="6"/>
        <v>✓</v>
      </c>
      <c r="K25" s="107" t="str">
        <f t="shared" si="6"/>
        <v>✓</v>
      </c>
      <c r="O25" s="48">
        <f t="shared" si="7"/>
        <v>2</v>
      </c>
      <c r="P25" s="48">
        <f t="shared" si="8"/>
        <v>2</v>
      </c>
      <c r="Q25" s="48">
        <f t="shared" si="9"/>
        <v>2</v>
      </c>
      <c r="R25" s="48">
        <f t="shared" si="10"/>
        <v>2</v>
      </c>
      <c r="S25" s="48">
        <f>IF(SUM(O25:R25)=0,0,SUM(O25:R25)-4)</f>
        <v>4</v>
      </c>
      <c r="T25" s="48">
        <f t="shared" si="11"/>
        <v>4</v>
      </c>
      <c r="U25" s="113">
        <f t="shared" si="12"/>
        <v>1</v>
      </c>
      <c r="V25" s="48">
        <f>IFERROR(VLOOKUP($B24,$D$202:$L$226,6,FALSE),"")</f>
        <v>1</v>
      </c>
      <c r="W25" s="48">
        <f>IFERROR(VLOOKUP($B24,$D$202:$L$226,7,FALSE),"")</f>
        <v>1</v>
      </c>
      <c r="X25" s="48">
        <f>IFERROR(VLOOKUP($B24,$D$202:$L$226,8,FALSE),"")</f>
        <v>1</v>
      </c>
      <c r="Y25" s="48">
        <f>IFERROR(VLOOKUP($B24,$D$202:$L$226,9,FALSE),"")</f>
        <v>1</v>
      </c>
      <c r="AA25" s="48" t="str">
        <f>IF(B24="","",IF(V25="","N","Y"))</f>
        <v>Y</v>
      </c>
    </row>
    <row r="26" spans="1:44" s="45" customFormat="1" ht="30" customHeight="1">
      <c r="A26" s="74">
        <f>IF(B26="","",A24+1)</f>
        <v>8</v>
      </c>
      <c r="B26" s="209" t="str">
        <f>IF($D153="","",D153)</f>
        <v>Land Rover North Scottsdale</v>
      </c>
      <c r="C26" s="209"/>
      <c r="D26" s="197">
        <f>M26</f>
        <v>1</v>
      </c>
      <c r="E26" s="87"/>
      <c r="F26" s="130" t="str">
        <f>IF($A26&gt;$F$144,"",F$9)</f>
        <v>Shop 1</v>
      </c>
      <c r="G26" s="89">
        <f t="shared" si="3"/>
        <v>1</v>
      </c>
      <c r="H26" s="107" t="str">
        <f t="shared" si="4"/>
        <v>✓</v>
      </c>
      <c r="I26" s="107" t="str">
        <f t="shared" si="5"/>
        <v>✓</v>
      </c>
      <c r="J26" s="107" t="str">
        <f t="shared" si="6"/>
        <v>✓</v>
      </c>
      <c r="K26" s="107" t="str">
        <f t="shared" si="6"/>
        <v>✓</v>
      </c>
      <c r="M26" s="137">
        <f>H153</f>
        <v>1</v>
      </c>
      <c r="O26" s="48">
        <f t="shared" si="7"/>
        <v>2</v>
      </c>
      <c r="P26" s="48">
        <f t="shared" si="8"/>
        <v>2</v>
      </c>
      <c r="Q26" s="48">
        <f t="shared" si="9"/>
        <v>2</v>
      </c>
      <c r="R26" s="48">
        <f t="shared" si="10"/>
        <v>2</v>
      </c>
      <c r="S26" s="48">
        <f t="shared" si="13"/>
        <v>4</v>
      </c>
      <c r="T26" s="48">
        <f t="shared" si="11"/>
        <v>4</v>
      </c>
      <c r="U26" s="113">
        <f t="shared" si="12"/>
        <v>1</v>
      </c>
      <c r="V26" s="48">
        <f>IFERROR(VLOOKUP($B26,$D$174:$L$198,6,FALSE),"")</f>
        <v>1</v>
      </c>
      <c r="W26" s="48">
        <f>IFERROR(VLOOKUP($B26,$D$174:$L$198,7,FALSE),"")</f>
        <v>1</v>
      </c>
      <c r="X26" s="48">
        <f>IFERROR(VLOOKUP($B26,$D$174:$L$198,8,FALSE),"")</f>
        <v>1</v>
      </c>
      <c r="Y26" s="48">
        <f>IFERROR(VLOOKUP($B26,$D$174:$L$198,9,FALSE),"")</f>
        <v>1</v>
      </c>
      <c r="AA26" s="48" t="str">
        <f>IF(B26="","",IF(V26="","N","Y"))</f>
        <v>Y</v>
      </c>
    </row>
    <row r="27" spans="1:44" s="39" customFormat="1" ht="30" customHeight="1">
      <c r="A27" s="74">
        <f>IF(B26="","",A24+1)</f>
        <v>8</v>
      </c>
      <c r="B27" s="210"/>
      <c r="C27" s="210"/>
      <c r="D27" s="197"/>
      <c r="E27" s="87"/>
      <c r="F27" s="131" t="str">
        <f>IF($A27&gt;$F$144,"",F$10)</f>
        <v>Shop 2</v>
      </c>
      <c r="G27" s="89">
        <f t="shared" si="3"/>
        <v>1</v>
      </c>
      <c r="H27" s="107" t="str">
        <f t="shared" si="4"/>
        <v>✓</v>
      </c>
      <c r="I27" s="107" t="str">
        <f t="shared" si="5"/>
        <v>✓</v>
      </c>
      <c r="J27" s="107" t="str">
        <f t="shared" si="6"/>
        <v>✓</v>
      </c>
      <c r="K27" s="107" t="str">
        <f t="shared" si="6"/>
        <v>✓</v>
      </c>
      <c r="O27" s="48">
        <f t="shared" si="7"/>
        <v>2</v>
      </c>
      <c r="P27" s="48">
        <f t="shared" si="8"/>
        <v>2</v>
      </c>
      <c r="Q27" s="48">
        <f t="shared" si="9"/>
        <v>2</v>
      </c>
      <c r="R27" s="48">
        <f t="shared" si="10"/>
        <v>2</v>
      </c>
      <c r="S27" s="48">
        <f>IF(SUM(O27:R27)=0,0,SUM(O27:R27)-4)</f>
        <v>4</v>
      </c>
      <c r="T27" s="48">
        <f>IF(AA27="N",0,IF(SUM(O27:R27)=0,0,4))</f>
        <v>4</v>
      </c>
      <c r="U27" s="113">
        <f t="shared" si="12"/>
        <v>1</v>
      </c>
      <c r="V27" s="48">
        <f>IFERROR(VLOOKUP($B26,$D$202:$L$226,6,FALSE),"")</f>
        <v>1</v>
      </c>
      <c r="W27" s="48">
        <f>IFERROR(VLOOKUP($B26,$D$202:$L$226,7,FALSE),"")</f>
        <v>1</v>
      </c>
      <c r="X27" s="48">
        <f>IFERROR(VLOOKUP($B26,$D$202:$L$226,8,FALSE),"")</f>
        <v>1</v>
      </c>
      <c r="Y27" s="48">
        <f>IFERROR(VLOOKUP($B26,$D$202:$L$226,9,FALSE),"")</f>
        <v>1</v>
      </c>
      <c r="AA27" s="48" t="str">
        <f>IF(B26="","",IF(V27="","N","Y"))</f>
        <v>Y</v>
      </c>
    </row>
    <row r="28" spans="1:44" s="45" customFormat="1" ht="30" customHeight="1">
      <c r="A28" s="74">
        <f>IF(B28="","",A26+1)</f>
        <v>9</v>
      </c>
      <c r="B28" s="209" t="str">
        <f>IF($D154="","",D154)</f>
        <v>Lexus of Chandler</v>
      </c>
      <c r="C28" s="209"/>
      <c r="D28" s="197">
        <f>M28</f>
        <v>0.875</v>
      </c>
      <c r="E28" s="87"/>
      <c r="F28" s="130" t="str">
        <f>IF($A28&gt;$F$144,"",F$9)</f>
        <v>Shop 1</v>
      </c>
      <c r="G28" s="89">
        <f t="shared" si="3"/>
        <v>0.75</v>
      </c>
      <c r="H28" s="107" t="str">
        <f t="shared" si="4"/>
        <v>✓</v>
      </c>
      <c r="I28" s="107" t="str">
        <f t="shared" si="5"/>
        <v>✗</v>
      </c>
      <c r="J28" s="107" t="str">
        <f t="shared" si="6"/>
        <v>✓</v>
      </c>
      <c r="K28" s="107" t="str">
        <f t="shared" si="6"/>
        <v>✓</v>
      </c>
      <c r="M28" s="137">
        <f>H154</f>
        <v>0.875</v>
      </c>
      <c r="O28" s="48">
        <f t="shared" si="7"/>
        <v>2</v>
      </c>
      <c r="P28" s="48">
        <f t="shared" si="8"/>
        <v>1</v>
      </c>
      <c r="Q28" s="48">
        <f t="shared" si="9"/>
        <v>2</v>
      </c>
      <c r="R28" s="48">
        <f t="shared" si="10"/>
        <v>2</v>
      </c>
      <c r="S28" s="48">
        <f t="shared" si="13"/>
        <v>3</v>
      </c>
      <c r="T28" s="48">
        <f t="shared" ref="T28:T61" si="14">IF(AA28="N",0,IF(SUM(O28:R28)=0,0,4))</f>
        <v>4</v>
      </c>
      <c r="U28" s="113">
        <f t="shared" si="12"/>
        <v>0.75</v>
      </c>
      <c r="V28" s="48">
        <f>IFERROR(VLOOKUP($B28,$D$174:$L$198,6,FALSE),"")</f>
        <v>1</v>
      </c>
      <c r="W28" s="48">
        <f>IFERROR(VLOOKUP($B28,$D$174:$L$198,7,FALSE),"")</f>
        <v>0</v>
      </c>
      <c r="X28" s="48">
        <f>IFERROR(VLOOKUP($B28,$D$174:$L$198,8,FALSE),"")</f>
        <v>1</v>
      </c>
      <c r="Y28" s="48">
        <f>IFERROR(VLOOKUP($B28,$D$174:$L$198,9,FALSE),"")</f>
        <v>1</v>
      </c>
      <c r="AA28" s="48" t="str">
        <f>IF(B28="","",IF(V28="","N","Y"))</f>
        <v>Y</v>
      </c>
    </row>
    <row r="29" spans="1:44" s="39" customFormat="1" ht="30" customHeight="1">
      <c r="A29" s="74">
        <f>IF(B28="","",A26+1)</f>
        <v>9</v>
      </c>
      <c r="B29" s="210"/>
      <c r="C29" s="210"/>
      <c r="D29" s="197"/>
      <c r="E29" s="87"/>
      <c r="F29" s="131" t="str">
        <f>IF($A29&gt;$F$144,"",F$10)</f>
        <v>Shop 2</v>
      </c>
      <c r="G29" s="89">
        <f t="shared" si="3"/>
        <v>1</v>
      </c>
      <c r="H29" s="107" t="str">
        <f t="shared" si="4"/>
        <v>✓</v>
      </c>
      <c r="I29" s="107" t="str">
        <f t="shared" si="5"/>
        <v>✓</v>
      </c>
      <c r="J29" s="107" t="str">
        <f t="shared" si="6"/>
        <v>✓</v>
      </c>
      <c r="K29" s="107" t="str">
        <f t="shared" si="6"/>
        <v>✓</v>
      </c>
      <c r="O29" s="48">
        <f t="shared" si="7"/>
        <v>2</v>
      </c>
      <c r="P29" s="48">
        <f t="shared" si="8"/>
        <v>2</v>
      </c>
      <c r="Q29" s="48">
        <f t="shared" si="9"/>
        <v>2</v>
      </c>
      <c r="R29" s="48">
        <f t="shared" si="10"/>
        <v>2</v>
      </c>
      <c r="S29" s="48">
        <f>IF(SUM(O29:R29)=0,0,SUM(O29:R29)-4)</f>
        <v>4</v>
      </c>
      <c r="T29" s="48">
        <f t="shared" si="14"/>
        <v>4</v>
      </c>
      <c r="U29" s="113">
        <f t="shared" si="12"/>
        <v>1</v>
      </c>
      <c r="V29" s="48">
        <f>IFERROR(VLOOKUP($B28,$D$202:$L$226,6,FALSE),"")</f>
        <v>1</v>
      </c>
      <c r="W29" s="48">
        <f>IFERROR(VLOOKUP($B28,$D$202:$L$226,7,FALSE),"")</f>
        <v>1</v>
      </c>
      <c r="X29" s="48">
        <f>IFERROR(VLOOKUP($B28,$D$202:$L$226,8,FALSE),"")</f>
        <v>1</v>
      </c>
      <c r="Y29" s="48">
        <f>IFERROR(VLOOKUP($B28,$D$202:$L$226,9,FALSE),"")</f>
        <v>1</v>
      </c>
      <c r="AA29" s="48" t="str">
        <f>IF(B28="","",IF(V29="","N","Y"))</f>
        <v>Y</v>
      </c>
    </row>
    <row r="30" spans="1:44" s="45" customFormat="1" ht="30" customHeight="1">
      <c r="A30" s="74">
        <f>IF(B30="","",A28+1)</f>
        <v>10</v>
      </c>
      <c r="B30" s="209" t="str">
        <f>IF($D155="","",D155)</f>
        <v>Mercedes-Benz of Chandler</v>
      </c>
      <c r="C30" s="209"/>
      <c r="D30" s="197">
        <f>M30</f>
        <v>1</v>
      </c>
      <c r="E30" s="87"/>
      <c r="F30" s="130" t="str">
        <f>IF($A30&gt;$F$144,"",F$9)</f>
        <v>Shop 1</v>
      </c>
      <c r="G30" s="89">
        <f t="shared" si="3"/>
        <v>1</v>
      </c>
      <c r="H30" s="107" t="str">
        <f t="shared" si="4"/>
        <v>✓</v>
      </c>
      <c r="I30" s="107" t="str">
        <f t="shared" si="5"/>
        <v>✓</v>
      </c>
      <c r="J30" s="107" t="str">
        <f t="shared" si="6"/>
        <v>✓</v>
      </c>
      <c r="K30" s="107" t="str">
        <f t="shared" si="6"/>
        <v>✓</v>
      </c>
      <c r="M30" s="137">
        <f>H155</f>
        <v>1</v>
      </c>
      <c r="O30" s="48">
        <f t="shared" si="7"/>
        <v>2</v>
      </c>
      <c r="P30" s="48">
        <f t="shared" si="8"/>
        <v>2</v>
      </c>
      <c r="Q30" s="48">
        <f t="shared" si="9"/>
        <v>2</v>
      </c>
      <c r="R30" s="48">
        <f t="shared" si="10"/>
        <v>2</v>
      </c>
      <c r="S30" s="48">
        <f t="shared" si="13"/>
        <v>4</v>
      </c>
      <c r="T30" s="48">
        <f t="shared" si="14"/>
        <v>4</v>
      </c>
      <c r="U30" s="113">
        <f t="shared" si="12"/>
        <v>1</v>
      </c>
      <c r="V30" s="48">
        <f>IFERROR(VLOOKUP($B30,$D$174:$L$198,6,FALSE),"")</f>
        <v>1</v>
      </c>
      <c r="W30" s="48">
        <f>IFERROR(VLOOKUP($B30,$D$174:$L$198,7,FALSE),"")</f>
        <v>1</v>
      </c>
      <c r="X30" s="48">
        <f>IFERROR(VLOOKUP($B30,$D$174:$L$198,8,FALSE),"")</f>
        <v>1</v>
      </c>
      <c r="Y30" s="48">
        <f>IFERROR(VLOOKUP($B30,$D$174:$L$198,9,FALSE),"")</f>
        <v>1</v>
      </c>
      <c r="AA30" s="48" t="str">
        <f>IF(B30="","",IF(V30="","N","Y"))</f>
        <v>Y</v>
      </c>
    </row>
    <row r="31" spans="1:44" s="39" customFormat="1" ht="30" customHeight="1">
      <c r="A31" s="74">
        <f>IF(B30="","",A28+1)</f>
        <v>10</v>
      </c>
      <c r="B31" s="210"/>
      <c r="C31" s="210"/>
      <c r="D31" s="197"/>
      <c r="E31" s="87"/>
      <c r="F31" s="131" t="str">
        <f>IF($A31&gt;$F$144,"",F$10)</f>
        <v>Shop 2</v>
      </c>
      <c r="G31" s="89">
        <f>IF($AA31="","",IF($AA31="N","-",U31))</f>
        <v>1</v>
      </c>
      <c r="H31" s="107" t="str">
        <f>IF($AA31="N","-",IF(O31=2,"✓",IF(O31=1,"✗","")))</f>
        <v>✓</v>
      </c>
      <c r="I31" s="107" t="str">
        <f>IF($AA31="N","-",IF(P31=2,"✓",IF(P31=1,"✗","")))</f>
        <v>✓</v>
      </c>
      <c r="J31" s="107" t="str">
        <f>IF($AA31="N","-",IF(Q31=2,"✓",IF(Q31=1,"✗","")))</f>
        <v>✓</v>
      </c>
      <c r="K31" s="107" t="str">
        <f t="shared" si="6"/>
        <v>✓</v>
      </c>
      <c r="O31" s="48">
        <f t="shared" si="7"/>
        <v>2</v>
      </c>
      <c r="P31" s="48">
        <f t="shared" si="8"/>
        <v>2</v>
      </c>
      <c r="Q31" s="48">
        <f t="shared" si="9"/>
        <v>2</v>
      </c>
      <c r="R31" s="48">
        <f t="shared" si="10"/>
        <v>2</v>
      </c>
      <c r="S31" s="48">
        <f>IF(SUM(O31:R31)=0,0,SUM(O31:R31)-4)</f>
        <v>4</v>
      </c>
      <c r="T31" s="48">
        <f t="shared" si="14"/>
        <v>4</v>
      </c>
      <c r="U31" s="113">
        <f t="shared" si="12"/>
        <v>1</v>
      </c>
      <c r="V31" s="48">
        <f>IFERROR(VLOOKUP($B30,$D$202:$L$226,6,FALSE),"")</f>
        <v>1</v>
      </c>
      <c r="W31" s="48">
        <f>IFERROR(VLOOKUP($B30,$D$202:$L$226,7,FALSE),"")</f>
        <v>1</v>
      </c>
      <c r="X31" s="48">
        <f>IFERROR(VLOOKUP($B30,$D$202:$L$226,8,FALSE),"")</f>
        <v>1</v>
      </c>
      <c r="Y31" s="48">
        <f>IFERROR(VLOOKUP($B30,$D$202:$L$226,9,FALSE),"")</f>
        <v>1</v>
      </c>
      <c r="AA31" s="48" t="str">
        <f>IF(B30="","",IF(V31="","N","Y"))</f>
        <v>Y</v>
      </c>
    </row>
    <row r="32" spans="1:44" ht="30" customHeight="1">
      <c r="A32" s="74">
        <f>IF(B32="","",A30+1)</f>
        <v>11</v>
      </c>
      <c r="B32" s="209" t="str">
        <f>IF($D156="","",D156)</f>
        <v>Mercedes-Benz of North Scottsdale</v>
      </c>
      <c r="C32" s="209"/>
      <c r="D32" s="197">
        <f>M32</f>
        <v>1</v>
      </c>
      <c r="E32" s="87"/>
      <c r="F32" s="130" t="str">
        <f>IF($A32&gt;$F$144,"",F$9)</f>
        <v>Shop 1</v>
      </c>
      <c r="G32" s="89">
        <f t="shared" ref="G32:G61" si="15">IF($AA32="","",IF($AA32="N","-",U32))</f>
        <v>1</v>
      </c>
      <c r="H32" s="107" t="str">
        <f t="shared" ref="H32:H61" si="16">IF($AA32="N","-",IF(O32=2,"✓",IF(O32=1,"✗","")))</f>
        <v>✓</v>
      </c>
      <c r="I32" s="107" t="str">
        <f t="shared" ref="I32:I61" si="17">IF($AA32="N","-",IF(P32=2,"✓",IF(P32=1,"✗","")))</f>
        <v>✓</v>
      </c>
      <c r="J32" s="107" t="str">
        <f t="shared" ref="J32:K61" si="18">IF($AA32="N","-",IF(Q32=2,"✓",IF(Q32=1,"✗","")))</f>
        <v>✓</v>
      </c>
      <c r="K32" s="107" t="str">
        <f t="shared" si="18"/>
        <v>✓</v>
      </c>
      <c r="M32" s="118">
        <f>H156</f>
        <v>1</v>
      </c>
      <c r="O32" s="48">
        <f t="shared" si="7"/>
        <v>2</v>
      </c>
      <c r="P32" s="48">
        <f t="shared" si="8"/>
        <v>2</v>
      </c>
      <c r="Q32" s="48">
        <f t="shared" si="9"/>
        <v>2</v>
      </c>
      <c r="R32" s="48">
        <f t="shared" si="10"/>
        <v>2</v>
      </c>
      <c r="S32" s="48">
        <f t="shared" si="13"/>
        <v>4</v>
      </c>
      <c r="T32" s="48">
        <f t="shared" si="14"/>
        <v>4</v>
      </c>
      <c r="U32" s="113">
        <f t="shared" si="12"/>
        <v>1</v>
      </c>
      <c r="V32" s="48">
        <f>IFERROR(VLOOKUP($B32,$D$174:$L$198,6,FALSE),"")</f>
        <v>1</v>
      </c>
      <c r="W32" s="48">
        <f>IFERROR(VLOOKUP($B32,$D$174:$L$198,7,FALSE),"")</f>
        <v>1</v>
      </c>
      <c r="X32" s="48">
        <f>IFERROR(VLOOKUP($B32,$D$174:$L$198,8,FALSE),"")</f>
        <v>1</v>
      </c>
      <c r="Y32" s="48">
        <f>IFERROR(VLOOKUP($B32,$D$174:$L$198,9,FALSE),"")</f>
        <v>1</v>
      </c>
      <c r="AA32" s="48" t="str">
        <f>IF(B32="","",IF(V32="","N","Y"))</f>
        <v>Y</v>
      </c>
    </row>
    <row r="33" spans="1:27" s="39" customFormat="1" ht="30" customHeight="1">
      <c r="A33" s="74">
        <f>IF(B32="","",A30+1)</f>
        <v>11</v>
      </c>
      <c r="B33" s="210"/>
      <c r="C33" s="210"/>
      <c r="D33" s="197"/>
      <c r="E33" s="87"/>
      <c r="F33" s="131" t="str">
        <f>IF($A33&gt;$F$144,"",F$10)</f>
        <v>Shop 2</v>
      </c>
      <c r="G33" s="89">
        <f t="shared" si="15"/>
        <v>1</v>
      </c>
      <c r="H33" s="107" t="str">
        <f t="shared" si="16"/>
        <v>✓</v>
      </c>
      <c r="I33" s="107" t="str">
        <f t="shared" si="17"/>
        <v>✓</v>
      </c>
      <c r="J33" s="107" t="str">
        <f t="shared" si="18"/>
        <v>✓</v>
      </c>
      <c r="K33" s="107" t="str">
        <f t="shared" si="18"/>
        <v>✓</v>
      </c>
      <c r="O33" s="48">
        <f t="shared" si="7"/>
        <v>2</v>
      </c>
      <c r="P33" s="48">
        <f t="shared" si="8"/>
        <v>2</v>
      </c>
      <c r="Q33" s="48">
        <f t="shared" si="9"/>
        <v>2</v>
      </c>
      <c r="R33" s="48">
        <f t="shared" si="10"/>
        <v>2</v>
      </c>
      <c r="S33" s="48">
        <f>IF(SUM(O33:R33)=0,0,SUM(O33:R33)-4)</f>
        <v>4</v>
      </c>
      <c r="T33" s="48">
        <f t="shared" si="14"/>
        <v>4</v>
      </c>
      <c r="U33" s="113">
        <f t="shared" si="12"/>
        <v>1</v>
      </c>
      <c r="V33" s="48">
        <f>IFERROR(VLOOKUP($B32,$D$202:$L$226,6,FALSE),"")</f>
        <v>1</v>
      </c>
      <c r="W33" s="48">
        <f>IFERROR(VLOOKUP($B32,$D$202:$L$226,7,FALSE),"")</f>
        <v>1</v>
      </c>
      <c r="X33" s="48">
        <f>IFERROR(VLOOKUP($B32,$D$202:$L$226,8,FALSE),"")</f>
        <v>1</v>
      </c>
      <c r="Y33" s="48">
        <f>IFERROR(VLOOKUP($B32,$D$202:$L$226,9,FALSE),"")</f>
        <v>1</v>
      </c>
      <c r="AA33" s="48" t="str">
        <f>IF(B32="","",IF(V33="","N","Y"))</f>
        <v>Y</v>
      </c>
    </row>
    <row r="34" spans="1:27" ht="30" customHeight="1">
      <c r="A34" s="74">
        <f>IF(B34="","",A32+1)</f>
        <v>12</v>
      </c>
      <c r="B34" s="209" t="str">
        <f>IF($D157="","",D157)</f>
        <v>MINI North Scottsdale</v>
      </c>
      <c r="C34" s="209"/>
      <c r="D34" s="197">
        <f>M34</f>
        <v>1</v>
      </c>
      <c r="E34" s="87"/>
      <c r="F34" s="130" t="str">
        <f>IF($A34&gt;$F$144,"",F$9)</f>
        <v>Shop 1</v>
      </c>
      <c r="G34" s="89">
        <f t="shared" si="15"/>
        <v>1</v>
      </c>
      <c r="H34" s="107" t="str">
        <f t="shared" si="16"/>
        <v>✓</v>
      </c>
      <c r="I34" s="107" t="str">
        <f t="shared" si="17"/>
        <v>✓</v>
      </c>
      <c r="J34" s="107" t="str">
        <f t="shared" si="18"/>
        <v>✓</v>
      </c>
      <c r="K34" s="107" t="str">
        <f t="shared" si="18"/>
        <v>✓</v>
      </c>
      <c r="M34" s="118">
        <f>H157</f>
        <v>1</v>
      </c>
      <c r="O34" s="48">
        <f t="shared" si="7"/>
        <v>2</v>
      </c>
      <c r="P34" s="48">
        <f t="shared" si="8"/>
        <v>2</v>
      </c>
      <c r="Q34" s="48">
        <f t="shared" si="9"/>
        <v>2</v>
      </c>
      <c r="R34" s="48">
        <f t="shared" si="10"/>
        <v>2</v>
      </c>
      <c r="S34" s="48">
        <f t="shared" si="13"/>
        <v>4</v>
      </c>
      <c r="T34" s="48">
        <f t="shared" si="14"/>
        <v>4</v>
      </c>
      <c r="U34" s="113">
        <f t="shared" si="12"/>
        <v>1</v>
      </c>
      <c r="V34" s="48">
        <f>IFERROR(VLOOKUP($B34,$D$174:$L$198,6,FALSE),"")</f>
        <v>1</v>
      </c>
      <c r="W34" s="48">
        <f>IFERROR(VLOOKUP($B34,$D$174:$L$198,7,FALSE),"")</f>
        <v>1</v>
      </c>
      <c r="X34" s="48">
        <f>IFERROR(VLOOKUP($B34,$D$174:$L$198,8,FALSE),"")</f>
        <v>1</v>
      </c>
      <c r="Y34" s="48">
        <f>IFERROR(VLOOKUP($B34,$D$174:$L$198,9,FALSE),"")</f>
        <v>1</v>
      </c>
      <c r="AA34" s="48" t="str">
        <f>IF(B34="","",IF(V34="","N","Y"))</f>
        <v>Y</v>
      </c>
    </row>
    <row r="35" spans="1:27" s="39" customFormat="1" ht="30" customHeight="1">
      <c r="A35" s="74">
        <f>IF(B34="","",A32+1)</f>
        <v>12</v>
      </c>
      <c r="B35" s="210"/>
      <c r="C35" s="210"/>
      <c r="D35" s="197"/>
      <c r="E35" s="87"/>
      <c r="F35" s="131" t="str">
        <f>IF($A35&gt;$F$144,"",F$10)</f>
        <v>Shop 2</v>
      </c>
      <c r="G35" s="89">
        <f t="shared" si="15"/>
        <v>1</v>
      </c>
      <c r="H35" s="107" t="str">
        <f t="shared" si="16"/>
        <v>✓</v>
      </c>
      <c r="I35" s="107" t="str">
        <f t="shared" si="17"/>
        <v>✓</v>
      </c>
      <c r="J35" s="107" t="str">
        <f t="shared" si="18"/>
        <v>✓</v>
      </c>
      <c r="K35" s="107" t="str">
        <f t="shared" si="18"/>
        <v>✓</v>
      </c>
      <c r="O35" s="48">
        <f t="shared" si="7"/>
        <v>2</v>
      </c>
      <c r="P35" s="48">
        <f t="shared" si="8"/>
        <v>2</v>
      </c>
      <c r="Q35" s="48">
        <f t="shared" si="9"/>
        <v>2</v>
      </c>
      <c r="R35" s="48">
        <f t="shared" si="10"/>
        <v>2</v>
      </c>
      <c r="S35" s="48">
        <f>IF(SUM(O35:R35)=0,0,SUM(O35:R35)-4)</f>
        <v>4</v>
      </c>
      <c r="T35" s="48">
        <f t="shared" si="14"/>
        <v>4</v>
      </c>
      <c r="U35" s="113">
        <f t="shared" si="12"/>
        <v>1</v>
      </c>
      <c r="V35" s="48">
        <f>IFERROR(VLOOKUP($B34,$D$202:$L$226,6,FALSE),"")</f>
        <v>1</v>
      </c>
      <c r="W35" s="48">
        <f>IFERROR(VLOOKUP($B34,$D$202:$L$226,7,FALSE),"")</f>
        <v>1</v>
      </c>
      <c r="X35" s="48">
        <f>IFERROR(VLOOKUP($B34,$D$202:$L$226,8,FALSE),"")</f>
        <v>1</v>
      </c>
      <c r="Y35" s="48">
        <f>IFERROR(VLOOKUP($B34,$D$202:$L$226,9,FALSE),"")</f>
        <v>1</v>
      </c>
      <c r="AA35" s="48" t="str">
        <f>IF(B34="","",IF(V35="","N","Y"))</f>
        <v>Y</v>
      </c>
    </row>
    <row r="36" spans="1:27" ht="30" customHeight="1">
      <c r="A36" s="74">
        <f>IF(B36="","",A34+1)</f>
        <v>13</v>
      </c>
      <c r="B36" s="209" t="str">
        <f>IF($D158="","",D158)</f>
        <v>MINI of Tempe</v>
      </c>
      <c r="C36" s="209"/>
      <c r="D36" s="197">
        <f>M36</f>
        <v>1</v>
      </c>
      <c r="E36" s="87"/>
      <c r="F36" s="130" t="str">
        <f>IF($A36&gt;$F$144,"",F$9)</f>
        <v>Shop 1</v>
      </c>
      <c r="G36" s="89">
        <f t="shared" si="15"/>
        <v>1</v>
      </c>
      <c r="H36" s="107" t="str">
        <f t="shared" si="16"/>
        <v>✓</v>
      </c>
      <c r="I36" s="107" t="str">
        <f t="shared" si="17"/>
        <v>✓</v>
      </c>
      <c r="J36" s="107" t="str">
        <f t="shared" si="18"/>
        <v>✓</v>
      </c>
      <c r="K36" s="107" t="str">
        <f t="shared" si="18"/>
        <v>✓</v>
      </c>
      <c r="M36" s="118">
        <f>H158</f>
        <v>1</v>
      </c>
      <c r="O36" s="48">
        <f t="shared" si="7"/>
        <v>2</v>
      </c>
      <c r="P36" s="48">
        <f t="shared" si="8"/>
        <v>2</v>
      </c>
      <c r="Q36" s="48">
        <f t="shared" si="9"/>
        <v>2</v>
      </c>
      <c r="R36" s="48">
        <f t="shared" si="10"/>
        <v>2</v>
      </c>
      <c r="S36" s="48">
        <f t="shared" si="13"/>
        <v>4</v>
      </c>
      <c r="T36" s="48">
        <f t="shared" si="14"/>
        <v>4</v>
      </c>
      <c r="U36" s="113">
        <f t="shared" si="12"/>
        <v>1</v>
      </c>
      <c r="V36" s="48">
        <f>IFERROR(VLOOKUP($B36,$D$174:$L$198,6,FALSE),"")</f>
        <v>1</v>
      </c>
      <c r="W36" s="48">
        <f>IFERROR(VLOOKUP($B36,$D$174:$L$198,7,FALSE),"")</f>
        <v>1</v>
      </c>
      <c r="X36" s="48">
        <f>IFERROR(VLOOKUP($B36,$D$174:$L$198,8,FALSE),"")</f>
        <v>1</v>
      </c>
      <c r="Y36" s="48">
        <f>IFERROR(VLOOKUP($B36,$D$174:$L$198,9,FALSE),"")</f>
        <v>1</v>
      </c>
      <c r="AA36" s="48" t="str">
        <f>IF(B36="","",IF(V36="","N","Y"))</f>
        <v>Y</v>
      </c>
    </row>
    <row r="37" spans="1:27" s="39" customFormat="1" ht="30" customHeight="1">
      <c r="A37" s="74">
        <f>IF(B36="","",A34+1)</f>
        <v>13</v>
      </c>
      <c r="B37" s="210"/>
      <c r="C37" s="210"/>
      <c r="D37" s="197"/>
      <c r="E37" s="87"/>
      <c r="F37" s="131" t="str">
        <f>IF($A37&gt;$F$144,"",F$10)</f>
        <v>Shop 2</v>
      </c>
      <c r="G37" s="89">
        <f t="shared" si="15"/>
        <v>1</v>
      </c>
      <c r="H37" s="107" t="str">
        <f t="shared" si="16"/>
        <v>✓</v>
      </c>
      <c r="I37" s="107" t="str">
        <f t="shared" si="17"/>
        <v>✓</v>
      </c>
      <c r="J37" s="107" t="str">
        <f t="shared" si="18"/>
        <v>✓</v>
      </c>
      <c r="K37" s="107" t="str">
        <f t="shared" si="18"/>
        <v>✓</v>
      </c>
      <c r="O37" s="48">
        <f t="shared" si="7"/>
        <v>2</v>
      </c>
      <c r="P37" s="48">
        <f t="shared" si="8"/>
        <v>2</v>
      </c>
      <c r="Q37" s="48">
        <f t="shared" si="9"/>
        <v>2</v>
      </c>
      <c r="R37" s="48">
        <f t="shared" si="10"/>
        <v>2</v>
      </c>
      <c r="S37" s="48">
        <f>IF(SUM(O37:R37)=0,0,SUM(O37:R37)-4)</f>
        <v>4</v>
      </c>
      <c r="T37" s="48">
        <f t="shared" si="14"/>
        <v>4</v>
      </c>
      <c r="U37" s="113">
        <f t="shared" si="12"/>
        <v>1</v>
      </c>
      <c r="V37" s="48">
        <f>IFERROR(VLOOKUP($B36,$D$202:$L$226,6,FALSE),"")</f>
        <v>1</v>
      </c>
      <c r="W37" s="48">
        <f>IFERROR(VLOOKUP($B36,$D$202:$L$226,7,FALSE),"")</f>
        <v>1</v>
      </c>
      <c r="X37" s="48">
        <f>IFERROR(VLOOKUP($B36,$D$202:$L$226,8,FALSE),"")</f>
        <v>1</v>
      </c>
      <c r="Y37" s="48">
        <f>IFERROR(VLOOKUP($B36,$D$202:$L$226,9,FALSE),"")</f>
        <v>1</v>
      </c>
      <c r="AA37" s="48" t="str">
        <f>IF(B36="","",IF(V37="","N","Y"))</f>
        <v>Y</v>
      </c>
    </row>
    <row r="38" spans="1:27" ht="30" customHeight="1">
      <c r="A38" s="74">
        <f>IF(B38="","",A36+1)</f>
        <v>14</v>
      </c>
      <c r="B38" s="209" t="str">
        <f>IF($D159="","",D159)</f>
        <v>Porsche North Scottsdale</v>
      </c>
      <c r="C38" s="209"/>
      <c r="D38" s="197">
        <f>M38</f>
        <v>0.875</v>
      </c>
      <c r="E38" s="87"/>
      <c r="F38" s="130" t="str">
        <f>IF($A38&gt;$F$144,"",F$9)</f>
        <v>Shop 1</v>
      </c>
      <c r="G38" s="89">
        <f t="shared" si="15"/>
        <v>0.75</v>
      </c>
      <c r="H38" s="107" t="str">
        <f t="shared" si="16"/>
        <v>✓</v>
      </c>
      <c r="I38" s="107" t="str">
        <f t="shared" si="17"/>
        <v>✗</v>
      </c>
      <c r="J38" s="107" t="str">
        <f t="shared" si="18"/>
        <v>✓</v>
      </c>
      <c r="K38" s="107" t="str">
        <f t="shared" si="18"/>
        <v>✓</v>
      </c>
      <c r="M38" s="118">
        <f>H159</f>
        <v>0.875</v>
      </c>
      <c r="O38" s="48">
        <f t="shared" si="7"/>
        <v>2</v>
      </c>
      <c r="P38" s="48">
        <f t="shared" si="8"/>
        <v>1</v>
      </c>
      <c r="Q38" s="48">
        <f t="shared" si="9"/>
        <v>2</v>
      </c>
      <c r="R38" s="48">
        <f t="shared" si="10"/>
        <v>2</v>
      </c>
      <c r="S38" s="48">
        <f t="shared" si="13"/>
        <v>3</v>
      </c>
      <c r="T38" s="48">
        <f t="shared" si="14"/>
        <v>4</v>
      </c>
      <c r="U38" s="113">
        <f t="shared" si="12"/>
        <v>0.75</v>
      </c>
      <c r="V38" s="48">
        <f>IFERROR(VLOOKUP($B38,$D$174:$L$198,6,FALSE),"")</f>
        <v>1</v>
      </c>
      <c r="W38" s="48">
        <f>IFERROR(VLOOKUP($B38,$D$174:$L$198,7,FALSE),"")</f>
        <v>0</v>
      </c>
      <c r="X38" s="48">
        <f>IFERROR(VLOOKUP($B38,$D$174:$L$198,8,FALSE),"")</f>
        <v>1</v>
      </c>
      <c r="Y38" s="48">
        <f>IFERROR(VLOOKUP($B38,$D$174:$L$198,9,FALSE),"")</f>
        <v>1</v>
      </c>
      <c r="AA38" s="48" t="str">
        <f>IF(B38="","",IF(V38="","N","Y"))</f>
        <v>Y</v>
      </c>
    </row>
    <row r="39" spans="1:27" s="39" customFormat="1" ht="30" customHeight="1">
      <c r="A39" s="74">
        <f>IF(B38="","",A36+1)</f>
        <v>14</v>
      </c>
      <c r="B39" s="210"/>
      <c r="C39" s="210"/>
      <c r="D39" s="197"/>
      <c r="E39" s="87"/>
      <c r="F39" s="131" t="str">
        <f>IF($A39&gt;$F$144,"",F$10)</f>
        <v>Shop 2</v>
      </c>
      <c r="G39" s="89">
        <f t="shared" si="15"/>
        <v>1</v>
      </c>
      <c r="H39" s="107" t="str">
        <f t="shared" si="16"/>
        <v>✓</v>
      </c>
      <c r="I39" s="107" t="str">
        <f t="shared" si="17"/>
        <v>✓</v>
      </c>
      <c r="J39" s="107" t="str">
        <f t="shared" si="18"/>
        <v>✓</v>
      </c>
      <c r="K39" s="107" t="str">
        <f t="shared" si="18"/>
        <v>✓</v>
      </c>
      <c r="O39" s="48">
        <f t="shared" si="7"/>
        <v>2</v>
      </c>
      <c r="P39" s="48">
        <f t="shared" si="8"/>
        <v>2</v>
      </c>
      <c r="Q39" s="48">
        <f t="shared" si="9"/>
        <v>2</v>
      </c>
      <c r="R39" s="48">
        <f t="shared" si="10"/>
        <v>2</v>
      </c>
      <c r="S39" s="48">
        <f>IF(SUM(O39:R39)=0,0,SUM(O39:R39)-4)</f>
        <v>4</v>
      </c>
      <c r="T39" s="48">
        <f t="shared" si="14"/>
        <v>4</v>
      </c>
      <c r="U39" s="113">
        <f t="shared" si="12"/>
        <v>1</v>
      </c>
      <c r="V39" s="48">
        <f>IFERROR(VLOOKUP($B38,$D$202:$L$226,6,FALSE),"")</f>
        <v>1</v>
      </c>
      <c r="W39" s="48">
        <f>IFERROR(VLOOKUP($B38,$D$202:$L$226,7,FALSE),"")</f>
        <v>1</v>
      </c>
      <c r="X39" s="48">
        <f>IFERROR(VLOOKUP($B38,$D$202:$L$226,8,FALSE),"")</f>
        <v>1</v>
      </c>
      <c r="Y39" s="48">
        <f>IFERROR(VLOOKUP($B38,$D$202:$L$226,9,FALSE),"")</f>
        <v>1</v>
      </c>
      <c r="AA39" s="48" t="str">
        <f>IF(B38="","",IF(V39="","N","Y"))</f>
        <v>Y</v>
      </c>
    </row>
    <row r="40" spans="1:27" s="39" customFormat="1" ht="30" customHeight="1">
      <c r="A40" s="74">
        <f>IF(B40="","",A38+1)</f>
        <v>15</v>
      </c>
      <c r="B40" s="209" t="str">
        <f>IF($D160="","",D160)</f>
        <v>Scottsdale Ferrari Maserati</v>
      </c>
      <c r="C40" s="209"/>
      <c r="D40" s="197">
        <f>M40</f>
        <v>0.125</v>
      </c>
      <c r="E40" s="87"/>
      <c r="F40" s="130" t="str">
        <f>IF($A40&gt;$F$144,"",F$9)</f>
        <v>Shop 1</v>
      </c>
      <c r="G40" s="89">
        <f t="shared" si="15"/>
        <v>0</v>
      </c>
      <c r="H40" s="107" t="str">
        <f t="shared" si="16"/>
        <v>✗</v>
      </c>
      <c r="I40" s="107" t="str">
        <f t="shared" si="17"/>
        <v>✗</v>
      </c>
      <c r="J40" s="107" t="str">
        <f t="shared" si="18"/>
        <v>✗</v>
      </c>
      <c r="K40" s="107" t="str">
        <f t="shared" si="18"/>
        <v>✗</v>
      </c>
      <c r="M40" s="138">
        <f>H160</f>
        <v>0.125</v>
      </c>
      <c r="O40" s="48">
        <f t="shared" si="7"/>
        <v>1</v>
      </c>
      <c r="P40" s="48">
        <f t="shared" si="8"/>
        <v>1</v>
      </c>
      <c r="Q40" s="48">
        <f t="shared" si="9"/>
        <v>1</v>
      </c>
      <c r="R40" s="48">
        <f t="shared" si="10"/>
        <v>1</v>
      </c>
      <c r="S40" s="48">
        <f t="shared" si="13"/>
        <v>0</v>
      </c>
      <c r="T40" s="48">
        <f t="shared" si="14"/>
        <v>4</v>
      </c>
      <c r="U40" s="113">
        <f t="shared" si="12"/>
        <v>0</v>
      </c>
      <c r="V40" s="48">
        <f>IFERROR(VLOOKUP($B40,$D$174:$L$198,6,FALSE),"")</f>
        <v>0</v>
      </c>
      <c r="W40" s="48">
        <f>IFERROR(VLOOKUP($B40,$D$174:$L$198,7,FALSE),"")</f>
        <v>0</v>
      </c>
      <c r="X40" s="48">
        <f>IFERROR(VLOOKUP($B40,$D$174:$L$198,8,FALSE),"")</f>
        <v>0</v>
      </c>
      <c r="Y40" s="48">
        <f>IFERROR(VLOOKUP($B40,$D$174:$L$198,9,FALSE),"")</f>
        <v>0</v>
      </c>
      <c r="AA40" s="48" t="str">
        <f>IF(B40="","",IF(V40="","N","Y"))</f>
        <v>Y</v>
      </c>
    </row>
    <row r="41" spans="1:27" s="39" customFormat="1" ht="30" customHeight="1">
      <c r="A41" s="74">
        <f>IF(B40="","",A38+1)</f>
        <v>15</v>
      </c>
      <c r="B41" s="210"/>
      <c r="C41" s="210"/>
      <c r="D41" s="197"/>
      <c r="E41" s="87"/>
      <c r="F41" s="131" t="str">
        <f>IF($A41&gt;$F$144,"",F$10)</f>
        <v>Shop 2</v>
      </c>
      <c r="G41" s="89">
        <f t="shared" si="15"/>
        <v>0.25</v>
      </c>
      <c r="H41" s="107" t="str">
        <f t="shared" si="16"/>
        <v>✗</v>
      </c>
      <c r="I41" s="107" t="str">
        <f t="shared" si="17"/>
        <v>✗</v>
      </c>
      <c r="J41" s="107" t="str">
        <f t="shared" si="18"/>
        <v>✓</v>
      </c>
      <c r="K41" s="107" t="str">
        <f t="shared" si="18"/>
        <v>✗</v>
      </c>
      <c r="O41" s="48">
        <f t="shared" si="7"/>
        <v>1</v>
      </c>
      <c r="P41" s="48">
        <f t="shared" si="8"/>
        <v>1</v>
      </c>
      <c r="Q41" s="48">
        <f t="shared" si="9"/>
        <v>2</v>
      </c>
      <c r="R41" s="48">
        <f t="shared" si="10"/>
        <v>1</v>
      </c>
      <c r="S41" s="48">
        <f>IF(SUM(O41:R41)=0,0,SUM(O41:R41)-4)</f>
        <v>1</v>
      </c>
      <c r="T41" s="48">
        <f t="shared" si="14"/>
        <v>4</v>
      </c>
      <c r="U41" s="113">
        <f t="shared" si="12"/>
        <v>0.25</v>
      </c>
      <c r="V41" s="48">
        <f>IFERROR(VLOOKUP($B40,$D$202:$L$226,6,FALSE),"")</f>
        <v>0</v>
      </c>
      <c r="W41" s="48">
        <f>IFERROR(VLOOKUP($B40,$D$202:$L$226,7,FALSE),"")</f>
        <v>0</v>
      </c>
      <c r="X41" s="48">
        <f>IFERROR(VLOOKUP($B40,$D$202:$L$226,8,FALSE),"")</f>
        <v>1</v>
      </c>
      <c r="Y41" s="48">
        <f>IFERROR(VLOOKUP($B40,$D$202:$L$226,9,FALSE),"")</f>
        <v>0</v>
      </c>
      <c r="AA41" s="48" t="str">
        <f>IF(B40="","",IF(V41="","N","Y"))</f>
        <v>Y</v>
      </c>
    </row>
    <row r="42" spans="1:27" s="39" customFormat="1" ht="30" customHeight="1">
      <c r="A42" s="74">
        <f>IF(B42="","",A40+1)</f>
        <v>16</v>
      </c>
      <c r="B42" s="209" t="str">
        <f>IF($D161="","",D161)</f>
        <v>Tempe Honda</v>
      </c>
      <c r="C42" s="209"/>
      <c r="D42" s="197">
        <f>M42</f>
        <v>1</v>
      </c>
      <c r="E42" s="87"/>
      <c r="F42" s="130" t="str">
        <f>IF($A42&gt;$F$144,"",F$9)</f>
        <v>Shop 1</v>
      </c>
      <c r="G42" s="89">
        <f t="shared" si="15"/>
        <v>1</v>
      </c>
      <c r="H42" s="107" t="str">
        <f t="shared" si="16"/>
        <v>✓</v>
      </c>
      <c r="I42" s="107" t="str">
        <f t="shared" si="17"/>
        <v>✓</v>
      </c>
      <c r="J42" s="107" t="str">
        <f t="shared" si="18"/>
        <v>✓</v>
      </c>
      <c r="K42" s="107" t="str">
        <f t="shared" si="18"/>
        <v>✓</v>
      </c>
      <c r="M42" s="138">
        <f>H161</f>
        <v>1</v>
      </c>
      <c r="O42" s="48">
        <f t="shared" si="7"/>
        <v>2</v>
      </c>
      <c r="P42" s="48">
        <f t="shared" si="8"/>
        <v>2</v>
      </c>
      <c r="Q42" s="48">
        <f t="shared" si="9"/>
        <v>2</v>
      </c>
      <c r="R42" s="48">
        <f t="shared" si="10"/>
        <v>2</v>
      </c>
      <c r="S42" s="48">
        <f t="shared" si="13"/>
        <v>4</v>
      </c>
      <c r="T42" s="48">
        <f t="shared" si="14"/>
        <v>4</v>
      </c>
      <c r="U42" s="113">
        <f t="shared" si="12"/>
        <v>1</v>
      </c>
      <c r="V42" s="48">
        <f>IFERROR(VLOOKUP($B42,$D$174:$L$198,6,FALSE),"")</f>
        <v>1</v>
      </c>
      <c r="W42" s="48">
        <f>IFERROR(VLOOKUP($B42,$D$174:$L$198,7,FALSE),"")</f>
        <v>1</v>
      </c>
      <c r="X42" s="48">
        <f>IFERROR(VLOOKUP($B42,$D$174:$L$198,8,FALSE),"")</f>
        <v>1</v>
      </c>
      <c r="Y42" s="48">
        <f>IFERROR(VLOOKUP($B42,$D$174:$L$198,9,FALSE),"")</f>
        <v>1</v>
      </c>
      <c r="AA42" s="48" t="str">
        <f>IF(B42="","",IF(V42="","N","Y"))</f>
        <v>Y</v>
      </c>
    </row>
    <row r="43" spans="1:27" s="39" customFormat="1" ht="30" customHeight="1">
      <c r="A43" s="74">
        <f>IF(B42="","",A40+1)</f>
        <v>16</v>
      </c>
      <c r="B43" s="210"/>
      <c r="C43" s="210"/>
      <c r="D43" s="197"/>
      <c r="E43" s="87"/>
      <c r="F43" s="131" t="str">
        <f>IF($A43&gt;$F$144,"",F$10)</f>
        <v>Shop 2</v>
      </c>
      <c r="G43" s="89">
        <f t="shared" si="15"/>
        <v>1</v>
      </c>
      <c r="H43" s="107" t="str">
        <f t="shared" si="16"/>
        <v>✓</v>
      </c>
      <c r="I43" s="107" t="str">
        <f t="shared" si="17"/>
        <v>✓</v>
      </c>
      <c r="J43" s="107" t="str">
        <f t="shared" si="18"/>
        <v>✓</v>
      </c>
      <c r="K43" s="107" t="str">
        <f t="shared" si="18"/>
        <v>✓</v>
      </c>
      <c r="O43" s="48">
        <f t="shared" si="7"/>
        <v>2</v>
      </c>
      <c r="P43" s="48">
        <f t="shared" si="8"/>
        <v>2</v>
      </c>
      <c r="Q43" s="48">
        <f t="shared" si="9"/>
        <v>2</v>
      </c>
      <c r="R43" s="48">
        <f t="shared" si="10"/>
        <v>2</v>
      </c>
      <c r="S43" s="48">
        <f>IF(SUM(O43:R43)=0,0,SUM(O43:R43)-4)</f>
        <v>4</v>
      </c>
      <c r="T43" s="48">
        <f t="shared" si="14"/>
        <v>4</v>
      </c>
      <c r="U43" s="113">
        <f t="shared" si="12"/>
        <v>1</v>
      </c>
      <c r="V43" s="48">
        <f>IFERROR(VLOOKUP($B42,$D$202:$L$226,6,FALSE),"")</f>
        <v>1</v>
      </c>
      <c r="W43" s="48">
        <f>IFERROR(VLOOKUP($B42,$D$202:$L$226,7,FALSE),"")</f>
        <v>1</v>
      </c>
      <c r="X43" s="48">
        <f>IFERROR(VLOOKUP($B42,$D$202:$L$226,8,FALSE),"")</f>
        <v>1</v>
      </c>
      <c r="Y43" s="48">
        <f>IFERROR(VLOOKUP($B42,$D$202:$L$226,9,FALSE),"")</f>
        <v>1</v>
      </c>
      <c r="AA43" s="48" t="str">
        <f>IF(B42="","",IF(V43="","N","Y"))</f>
        <v>Y</v>
      </c>
    </row>
    <row r="44" spans="1:27" s="39" customFormat="1" ht="30" customHeight="1">
      <c r="A44" s="74">
        <f>IF(B44="","",A42+1)</f>
        <v>17</v>
      </c>
      <c r="B44" s="209" t="str">
        <f>IF($D162="","",D162)</f>
        <v>Toyota of Surprise</v>
      </c>
      <c r="C44" s="209"/>
      <c r="D44" s="197">
        <f>M44</f>
        <v>0.875</v>
      </c>
      <c r="E44" s="87"/>
      <c r="F44" s="130" t="str">
        <f>IF($A44&gt;$F$144,"",F$9)</f>
        <v>Shop 1</v>
      </c>
      <c r="G44" s="89">
        <f t="shared" si="15"/>
        <v>1</v>
      </c>
      <c r="H44" s="107" t="str">
        <f t="shared" si="16"/>
        <v>✓</v>
      </c>
      <c r="I44" s="107" t="str">
        <f t="shared" si="17"/>
        <v>✓</v>
      </c>
      <c r="J44" s="107" t="str">
        <f t="shared" si="18"/>
        <v>✓</v>
      </c>
      <c r="K44" s="107" t="str">
        <f t="shared" si="18"/>
        <v>✓</v>
      </c>
      <c r="M44" s="138">
        <f>H162</f>
        <v>0.875</v>
      </c>
      <c r="O44" s="48">
        <f t="shared" ref="O44:O61" si="19">IF($A44="",0,IF(V44=1,2,1))</f>
        <v>2</v>
      </c>
      <c r="P44" s="48">
        <f t="shared" ref="P44:P61" si="20">IF($A44="",0,IF(W44=1,2,1))</f>
        <v>2</v>
      </c>
      <c r="Q44" s="48">
        <f t="shared" ref="Q44:Q61" si="21">IF($A44="",0,IF(X44=1,2,1))</f>
        <v>2</v>
      </c>
      <c r="R44" s="48">
        <f t="shared" ref="R44:R61" si="22">IF($A44="",0,IF(Y44=1,2,1))</f>
        <v>2</v>
      </c>
      <c r="S44" s="48">
        <f t="shared" si="13"/>
        <v>4</v>
      </c>
      <c r="T44" s="48">
        <f t="shared" si="14"/>
        <v>4</v>
      </c>
      <c r="U44" s="113">
        <f t="shared" si="12"/>
        <v>1</v>
      </c>
      <c r="V44" s="48">
        <f>IFERROR(VLOOKUP($B44,$D$174:$L$198,6,FALSE),"")</f>
        <v>1</v>
      </c>
      <c r="W44" s="48">
        <f>IFERROR(VLOOKUP($B44,$D$174:$L$198,7,FALSE),"")</f>
        <v>1</v>
      </c>
      <c r="X44" s="48">
        <f>IFERROR(VLOOKUP($B44,$D$174:$L$198,8,FALSE),"")</f>
        <v>1</v>
      </c>
      <c r="Y44" s="48">
        <f>IFERROR(VLOOKUP($B44,$D$174:$L$198,9,FALSE),"")</f>
        <v>1</v>
      </c>
      <c r="AA44" s="48" t="str">
        <f>IF(B44="","",IF(V44="","N","Y"))</f>
        <v>Y</v>
      </c>
    </row>
    <row r="45" spans="1:27" s="39" customFormat="1" ht="30" customHeight="1">
      <c r="A45" s="74">
        <f>IF(B44="","",A42+1)</f>
        <v>17</v>
      </c>
      <c r="B45" s="210"/>
      <c r="C45" s="210"/>
      <c r="D45" s="197"/>
      <c r="E45" s="87"/>
      <c r="F45" s="131" t="str">
        <f>IF($A45&gt;$F$144,"",F$10)</f>
        <v>Shop 2</v>
      </c>
      <c r="G45" s="89">
        <f t="shared" si="15"/>
        <v>0.75</v>
      </c>
      <c r="H45" s="107" t="str">
        <f t="shared" si="16"/>
        <v>✓</v>
      </c>
      <c r="I45" s="107" t="str">
        <f t="shared" si="17"/>
        <v>✗</v>
      </c>
      <c r="J45" s="107" t="str">
        <f t="shared" si="18"/>
        <v>✓</v>
      </c>
      <c r="K45" s="107" t="str">
        <f t="shared" si="18"/>
        <v>✓</v>
      </c>
      <c r="O45" s="48">
        <f t="shared" si="19"/>
        <v>2</v>
      </c>
      <c r="P45" s="48">
        <f t="shared" si="20"/>
        <v>1</v>
      </c>
      <c r="Q45" s="48">
        <f t="shared" si="21"/>
        <v>2</v>
      </c>
      <c r="R45" s="48">
        <f t="shared" si="22"/>
        <v>2</v>
      </c>
      <c r="S45" s="48">
        <f>IF(SUM(O45:R45)=0,0,SUM(O45:R45)-4)</f>
        <v>3</v>
      </c>
      <c r="T45" s="48">
        <f t="shared" si="14"/>
        <v>4</v>
      </c>
      <c r="U45" s="113">
        <f t="shared" si="12"/>
        <v>0.75</v>
      </c>
      <c r="V45" s="48">
        <f>IFERROR(VLOOKUP($B44,$D$202:$L$226,6,FALSE),"")</f>
        <v>1</v>
      </c>
      <c r="W45" s="48">
        <f>IFERROR(VLOOKUP($B44,$D$202:$L$226,7,FALSE),"")</f>
        <v>0</v>
      </c>
      <c r="X45" s="48">
        <f>IFERROR(VLOOKUP($B44,$D$202:$L$226,8,FALSE),"")</f>
        <v>1</v>
      </c>
      <c r="Y45" s="48">
        <f>IFERROR(VLOOKUP($B44,$D$202:$L$226,9,FALSE),"")</f>
        <v>1</v>
      </c>
      <c r="AA45" s="48" t="str">
        <f>IF(B44="","",IF(V45="","N","Y"))</f>
        <v>Y</v>
      </c>
    </row>
    <row r="46" spans="1:27" s="39" customFormat="1" ht="30" customHeight="1">
      <c r="A46" s="74">
        <f>IF(B46="","",A44+1)</f>
        <v>18</v>
      </c>
      <c r="B46" s="209" t="str">
        <f>IF($D163="","",D163)</f>
        <v>Volkswagen North Scottsdale</v>
      </c>
      <c r="C46" s="209"/>
      <c r="D46" s="197">
        <f>M46</f>
        <v>1</v>
      </c>
      <c r="E46" s="139"/>
      <c r="F46" s="130" t="str">
        <f>IF($A46&gt;$F$144,"",F$9)</f>
        <v>Shop 1</v>
      </c>
      <c r="G46" s="89">
        <f t="shared" si="15"/>
        <v>1</v>
      </c>
      <c r="H46" s="107" t="str">
        <f t="shared" si="16"/>
        <v>✓</v>
      </c>
      <c r="I46" s="107" t="str">
        <f t="shared" si="17"/>
        <v>✓</v>
      </c>
      <c r="J46" s="107" t="str">
        <f t="shared" si="18"/>
        <v>✓</v>
      </c>
      <c r="K46" s="107" t="str">
        <f t="shared" si="18"/>
        <v>✓</v>
      </c>
      <c r="M46" s="138">
        <f>H163</f>
        <v>1</v>
      </c>
      <c r="O46" s="48">
        <f t="shared" si="19"/>
        <v>2</v>
      </c>
      <c r="P46" s="48">
        <f t="shared" si="20"/>
        <v>2</v>
      </c>
      <c r="Q46" s="48">
        <f t="shared" si="21"/>
        <v>2</v>
      </c>
      <c r="R46" s="48">
        <f t="shared" si="22"/>
        <v>2</v>
      </c>
      <c r="S46" s="48">
        <f t="shared" si="13"/>
        <v>4</v>
      </c>
      <c r="T46" s="48">
        <f t="shared" si="14"/>
        <v>4</v>
      </c>
      <c r="U46" s="113">
        <f t="shared" si="12"/>
        <v>1</v>
      </c>
      <c r="V46" s="48">
        <f>IFERROR(VLOOKUP($B46,$D$174:$L$198,6,FALSE),"")</f>
        <v>1</v>
      </c>
      <c r="W46" s="48">
        <f>IFERROR(VLOOKUP($B46,$D$174:$L$198,7,FALSE),"")</f>
        <v>1</v>
      </c>
      <c r="X46" s="48">
        <f>IFERROR(VLOOKUP($B46,$D$174:$L$198,8,FALSE),"")</f>
        <v>1</v>
      </c>
      <c r="Y46" s="48">
        <f>IFERROR(VLOOKUP($B46,$D$174:$L$198,9,FALSE),"")</f>
        <v>1</v>
      </c>
      <c r="AA46" s="48" t="str">
        <f>IF(B46="","",IF(V46="","N","Y"))</f>
        <v>Y</v>
      </c>
    </row>
    <row r="47" spans="1:27" s="39" customFormat="1" ht="30" customHeight="1">
      <c r="A47" s="74">
        <f>IF(B46="","",A44+1)</f>
        <v>18</v>
      </c>
      <c r="B47" s="210"/>
      <c r="C47" s="210"/>
      <c r="D47" s="197"/>
      <c r="E47" s="87"/>
      <c r="F47" s="131" t="str">
        <f>IF($A47&gt;$F$144,"",F$10)</f>
        <v>Shop 2</v>
      </c>
      <c r="G47" s="89">
        <f t="shared" si="15"/>
        <v>1</v>
      </c>
      <c r="H47" s="107" t="str">
        <f t="shared" si="16"/>
        <v>✓</v>
      </c>
      <c r="I47" s="107" t="str">
        <f t="shared" si="17"/>
        <v>✓</v>
      </c>
      <c r="J47" s="107" t="str">
        <f t="shared" si="18"/>
        <v>✓</v>
      </c>
      <c r="K47" s="107" t="str">
        <f t="shared" si="18"/>
        <v>✓</v>
      </c>
      <c r="O47" s="48">
        <f t="shared" si="19"/>
        <v>2</v>
      </c>
      <c r="P47" s="48">
        <f t="shared" si="20"/>
        <v>2</v>
      </c>
      <c r="Q47" s="48">
        <f t="shared" si="21"/>
        <v>2</v>
      </c>
      <c r="R47" s="48">
        <f t="shared" si="22"/>
        <v>2</v>
      </c>
      <c r="S47" s="48">
        <f>IF(SUM(O47:R47)=0,0,SUM(O47:R47)-4)</f>
        <v>4</v>
      </c>
      <c r="T47" s="48">
        <f t="shared" si="14"/>
        <v>4</v>
      </c>
      <c r="U47" s="113">
        <f t="shared" si="12"/>
        <v>1</v>
      </c>
      <c r="V47" s="48">
        <f>IFERROR(VLOOKUP($B46,$D$202:$L$226,6,FALSE),"")</f>
        <v>1</v>
      </c>
      <c r="W47" s="48">
        <f>IFERROR(VLOOKUP($B46,$D$202:$L$226,7,FALSE),"")</f>
        <v>1</v>
      </c>
      <c r="X47" s="48">
        <f>IFERROR(VLOOKUP($B46,$D$202:$L$226,8,FALSE),"")</f>
        <v>1</v>
      </c>
      <c r="Y47" s="48">
        <f>IFERROR(VLOOKUP($B46,$D$202:$L$226,9,FALSE),"")</f>
        <v>1</v>
      </c>
      <c r="AA47" s="48" t="str">
        <f>IF(B46="","",IF(V47="","N","Y"))</f>
        <v>Y</v>
      </c>
    </row>
    <row r="48" spans="1:27" s="39" customFormat="1" ht="30" customHeight="1">
      <c r="A48" s="74" t="str">
        <f>IF(B48="","",A46+1)</f>
        <v/>
      </c>
      <c r="B48" s="209" t="str">
        <f>IF($D164="","",D164)</f>
        <v/>
      </c>
      <c r="C48" s="209"/>
      <c r="D48" s="197" t="str">
        <f>M48</f>
        <v/>
      </c>
      <c r="E48" s="139"/>
      <c r="F48" s="130" t="str">
        <f>IF($A48&gt;$F$144,"",F$9)</f>
        <v/>
      </c>
      <c r="G48" s="89" t="str">
        <f t="shared" si="15"/>
        <v/>
      </c>
      <c r="H48" s="107" t="str">
        <f t="shared" si="16"/>
        <v/>
      </c>
      <c r="I48" s="107" t="str">
        <f t="shared" si="17"/>
        <v/>
      </c>
      <c r="J48" s="107" t="str">
        <f t="shared" si="18"/>
        <v/>
      </c>
      <c r="K48" s="107" t="str">
        <f t="shared" si="18"/>
        <v/>
      </c>
      <c r="M48" s="138" t="str">
        <f>H164</f>
        <v/>
      </c>
      <c r="O48" s="48">
        <f t="shared" si="19"/>
        <v>0</v>
      </c>
      <c r="P48" s="48">
        <f t="shared" si="20"/>
        <v>0</v>
      </c>
      <c r="Q48" s="48">
        <f t="shared" si="21"/>
        <v>0</v>
      </c>
      <c r="R48" s="48">
        <f t="shared" si="22"/>
        <v>0</v>
      </c>
      <c r="S48" s="48">
        <f t="shared" si="13"/>
        <v>0</v>
      </c>
      <c r="T48" s="48">
        <f t="shared" si="14"/>
        <v>0</v>
      </c>
      <c r="U48" s="113">
        <f t="shared" si="12"/>
        <v>0</v>
      </c>
      <c r="V48" s="48" t="str">
        <f>IFERROR(VLOOKUP($B48,$D$174:$L$198,6,FALSE),"")</f>
        <v/>
      </c>
      <c r="W48" s="48" t="str">
        <f>IFERROR(VLOOKUP($B48,$D$174:$L$198,7,FALSE),"")</f>
        <v/>
      </c>
      <c r="X48" s="48" t="str">
        <f>IFERROR(VLOOKUP($B48,$D$174:$L$198,8,FALSE),"")</f>
        <v/>
      </c>
      <c r="Y48" s="48" t="str">
        <f>IFERROR(VLOOKUP($B48,$D$174:$L$198,9,FALSE),"")</f>
        <v/>
      </c>
      <c r="AA48" s="48" t="str">
        <f>IF(B48="","",IF(V48="","N","Y"))</f>
        <v/>
      </c>
    </row>
    <row r="49" spans="1:27" s="39" customFormat="1" ht="30" customHeight="1">
      <c r="A49" s="74" t="str">
        <f>IF(B48="","",A46+1)</f>
        <v/>
      </c>
      <c r="B49" s="210"/>
      <c r="C49" s="210"/>
      <c r="D49" s="197"/>
      <c r="E49" s="87"/>
      <c r="F49" s="131" t="str">
        <f>IF($A49&gt;$F$144,"",F$10)</f>
        <v/>
      </c>
      <c r="G49" s="89" t="str">
        <f t="shared" si="15"/>
        <v/>
      </c>
      <c r="H49" s="107" t="str">
        <f t="shared" si="16"/>
        <v/>
      </c>
      <c r="I49" s="107" t="str">
        <f t="shared" si="17"/>
        <v/>
      </c>
      <c r="J49" s="107" t="str">
        <f t="shared" si="18"/>
        <v/>
      </c>
      <c r="K49" s="107" t="str">
        <f t="shared" si="18"/>
        <v/>
      </c>
      <c r="O49" s="48">
        <f t="shared" si="19"/>
        <v>0</v>
      </c>
      <c r="P49" s="48">
        <f t="shared" si="20"/>
        <v>0</v>
      </c>
      <c r="Q49" s="48">
        <f t="shared" si="21"/>
        <v>0</v>
      </c>
      <c r="R49" s="48">
        <f t="shared" si="22"/>
        <v>0</v>
      </c>
      <c r="S49" s="48">
        <f>IF(SUM(O49:R49)=0,0,SUM(O49:R49)-4)</f>
        <v>0</v>
      </c>
      <c r="T49" s="48">
        <f t="shared" si="14"/>
        <v>0</v>
      </c>
      <c r="U49" s="113">
        <f t="shared" si="12"/>
        <v>0</v>
      </c>
      <c r="V49" s="48" t="str">
        <f>IFERROR(VLOOKUP($B48,$D$202:$L$226,6,FALSE),"")</f>
        <v/>
      </c>
      <c r="W49" s="48" t="str">
        <f>IFERROR(VLOOKUP($B48,$D$202:$L$226,7,FALSE),"")</f>
        <v/>
      </c>
      <c r="X49" s="48" t="str">
        <f>IFERROR(VLOOKUP($B48,$D$202:$L$226,8,FALSE),"")</f>
        <v/>
      </c>
      <c r="Y49" s="48" t="str">
        <f>IFERROR(VLOOKUP($B48,$D$202:$L$226,9,FALSE),"")</f>
        <v/>
      </c>
      <c r="AA49" s="48" t="str">
        <f>IF(B48="","",IF(V49="","N","Y"))</f>
        <v/>
      </c>
    </row>
    <row r="50" spans="1:27" s="39" customFormat="1" ht="30" customHeight="1">
      <c r="A50" s="74" t="str">
        <f>IF(B50="","",A48+1)</f>
        <v/>
      </c>
      <c r="B50" s="209" t="str">
        <f>IF($D165="","",D165)</f>
        <v/>
      </c>
      <c r="C50" s="209"/>
      <c r="D50" s="197" t="str">
        <f>M50</f>
        <v/>
      </c>
      <c r="E50" s="139"/>
      <c r="F50" s="130" t="str">
        <f>IF($A50&gt;$F$144,"",F$9)</f>
        <v/>
      </c>
      <c r="G50" s="89" t="str">
        <f t="shared" si="15"/>
        <v/>
      </c>
      <c r="H50" s="107" t="str">
        <f t="shared" si="16"/>
        <v/>
      </c>
      <c r="I50" s="107" t="str">
        <f t="shared" si="17"/>
        <v/>
      </c>
      <c r="J50" s="107" t="str">
        <f t="shared" si="18"/>
        <v/>
      </c>
      <c r="K50" s="107" t="str">
        <f t="shared" si="18"/>
        <v/>
      </c>
      <c r="M50" s="138" t="str">
        <f>H165</f>
        <v/>
      </c>
      <c r="O50" s="48">
        <f t="shared" si="19"/>
        <v>0</v>
      </c>
      <c r="P50" s="48">
        <f t="shared" si="20"/>
        <v>0</v>
      </c>
      <c r="Q50" s="48">
        <f t="shared" si="21"/>
        <v>0</v>
      </c>
      <c r="R50" s="48">
        <f t="shared" si="22"/>
        <v>0</v>
      </c>
      <c r="S50" s="48">
        <f t="shared" si="13"/>
        <v>0</v>
      </c>
      <c r="T50" s="48">
        <f t="shared" si="14"/>
        <v>0</v>
      </c>
      <c r="U50" s="113">
        <f t="shared" si="12"/>
        <v>0</v>
      </c>
      <c r="V50" s="48" t="str">
        <f>IFERROR(VLOOKUP($B50,$D$174:$L$198,6,FALSE),"")</f>
        <v/>
      </c>
      <c r="W50" s="48" t="str">
        <f>IFERROR(VLOOKUP($B50,$D$174:$L$198,7,FALSE),"")</f>
        <v/>
      </c>
      <c r="X50" s="48" t="str">
        <f>IFERROR(VLOOKUP($B50,$D$174:$L$198,8,FALSE),"")</f>
        <v/>
      </c>
      <c r="Y50" s="48" t="str">
        <f>IFERROR(VLOOKUP($B50,$D$174:$L$198,9,FALSE),"")</f>
        <v/>
      </c>
      <c r="AA50" s="48" t="str">
        <f>IF(B50="","",IF(V50="","N","Y"))</f>
        <v/>
      </c>
    </row>
    <row r="51" spans="1:27" s="39" customFormat="1" ht="30" customHeight="1">
      <c r="A51" s="74" t="str">
        <f>IF(B50="","",A48+1)</f>
        <v/>
      </c>
      <c r="B51" s="210"/>
      <c r="C51" s="210"/>
      <c r="D51" s="197"/>
      <c r="E51" s="87"/>
      <c r="F51" s="131" t="str">
        <f>IF($A51&gt;$F$144,"",F$10)</f>
        <v/>
      </c>
      <c r="G51" s="89" t="str">
        <f t="shared" si="15"/>
        <v/>
      </c>
      <c r="H51" s="107" t="str">
        <f t="shared" si="16"/>
        <v/>
      </c>
      <c r="I51" s="107" t="str">
        <f t="shared" si="17"/>
        <v/>
      </c>
      <c r="J51" s="107" t="str">
        <f t="shared" si="18"/>
        <v/>
      </c>
      <c r="K51" s="107" t="str">
        <f t="shared" si="18"/>
        <v/>
      </c>
      <c r="O51" s="48">
        <f t="shared" si="19"/>
        <v>0</v>
      </c>
      <c r="P51" s="48">
        <f t="shared" si="20"/>
        <v>0</v>
      </c>
      <c r="Q51" s="48">
        <f t="shared" si="21"/>
        <v>0</v>
      </c>
      <c r="R51" s="48">
        <f t="shared" si="22"/>
        <v>0</v>
      </c>
      <c r="S51" s="48">
        <f>IF(SUM(O51:R51)=0,0,SUM(O51:R51)-4)</f>
        <v>0</v>
      </c>
      <c r="T51" s="48">
        <f t="shared" si="14"/>
        <v>0</v>
      </c>
      <c r="U51" s="113">
        <f t="shared" si="12"/>
        <v>0</v>
      </c>
      <c r="V51" s="48" t="str">
        <f>IFERROR(VLOOKUP($B50,$D$202:$L$226,6,FALSE),"")</f>
        <v/>
      </c>
      <c r="W51" s="48" t="str">
        <f>IFERROR(VLOOKUP($B50,$D$202:$L$226,7,FALSE),"")</f>
        <v/>
      </c>
      <c r="X51" s="48" t="str">
        <f>IFERROR(VLOOKUP($B50,$D$202:$L$226,8,FALSE),"")</f>
        <v/>
      </c>
      <c r="Y51" s="48" t="str">
        <f>IFERROR(VLOOKUP($B50,$D$202:$L$226,9,FALSE),"")</f>
        <v/>
      </c>
      <c r="AA51" s="48" t="str">
        <f>IF(B50="","",IF(V51="","N","Y"))</f>
        <v/>
      </c>
    </row>
    <row r="52" spans="1:27" s="39" customFormat="1" ht="30" customHeight="1">
      <c r="A52" s="74" t="str">
        <f>IF(B52="","",A50+1)</f>
        <v/>
      </c>
      <c r="B52" s="209" t="str">
        <f>IF($D166="","",D166)</f>
        <v/>
      </c>
      <c r="C52" s="209"/>
      <c r="D52" s="197" t="str">
        <f>M52</f>
        <v/>
      </c>
      <c r="E52" s="139"/>
      <c r="F52" s="130" t="str">
        <f>IF($A52&gt;$F$144,"",F$9)</f>
        <v/>
      </c>
      <c r="G52" s="89" t="str">
        <f t="shared" si="15"/>
        <v/>
      </c>
      <c r="H52" s="107" t="str">
        <f t="shared" si="16"/>
        <v/>
      </c>
      <c r="I52" s="107" t="str">
        <f t="shared" si="17"/>
        <v/>
      </c>
      <c r="J52" s="107" t="str">
        <f t="shared" si="18"/>
        <v/>
      </c>
      <c r="K52" s="107" t="str">
        <f t="shared" si="18"/>
        <v/>
      </c>
      <c r="M52" s="138" t="str">
        <f>H166</f>
        <v/>
      </c>
      <c r="O52" s="48">
        <f t="shared" si="19"/>
        <v>0</v>
      </c>
      <c r="P52" s="48">
        <f t="shared" si="20"/>
        <v>0</v>
      </c>
      <c r="Q52" s="48">
        <f t="shared" si="21"/>
        <v>0</v>
      </c>
      <c r="R52" s="48">
        <f t="shared" si="22"/>
        <v>0</v>
      </c>
      <c r="S52" s="48">
        <f t="shared" ref="S52:S60" si="23">IF(SUM(O52:R52)=0,0,SUM(O52:R52)-4)</f>
        <v>0</v>
      </c>
      <c r="T52" s="48">
        <f t="shared" si="14"/>
        <v>0</v>
      </c>
      <c r="U52" s="113">
        <f t="shared" si="12"/>
        <v>0</v>
      </c>
      <c r="V52" s="48" t="str">
        <f>IFERROR(VLOOKUP($B52,$D$174:$L$198,6,FALSE),"")</f>
        <v/>
      </c>
      <c r="W52" s="48" t="str">
        <f>IFERROR(VLOOKUP($B52,$D$174:$L$198,7,FALSE),"")</f>
        <v/>
      </c>
      <c r="X52" s="48" t="str">
        <f>IFERROR(VLOOKUP($B52,$D$174:$L$198,8,FALSE),"")</f>
        <v/>
      </c>
      <c r="Y52" s="48" t="str">
        <f>IFERROR(VLOOKUP($B52,$D$174:$L$198,9,FALSE),"")</f>
        <v/>
      </c>
      <c r="AA52" s="48" t="str">
        <f>IF(B52="","",IF(V52="","N","Y"))</f>
        <v/>
      </c>
    </row>
    <row r="53" spans="1:27" s="39" customFormat="1" ht="30" customHeight="1">
      <c r="A53" s="74" t="str">
        <f>IF(B52="","",A50+1)</f>
        <v/>
      </c>
      <c r="B53" s="210"/>
      <c r="C53" s="210"/>
      <c r="D53" s="197"/>
      <c r="E53" s="87"/>
      <c r="F53" s="131" t="str">
        <f>IF($A53&gt;$F$144,"",F$10)</f>
        <v/>
      </c>
      <c r="G53" s="89" t="str">
        <f t="shared" si="15"/>
        <v/>
      </c>
      <c r="H53" s="107" t="str">
        <f t="shared" si="16"/>
        <v/>
      </c>
      <c r="I53" s="107" t="str">
        <f t="shared" si="17"/>
        <v/>
      </c>
      <c r="J53" s="107" t="str">
        <f t="shared" si="18"/>
        <v/>
      </c>
      <c r="K53" s="107" t="str">
        <f t="shared" si="18"/>
        <v/>
      </c>
      <c r="O53" s="48">
        <f t="shared" si="19"/>
        <v>0</v>
      </c>
      <c r="P53" s="48">
        <f t="shared" si="20"/>
        <v>0</v>
      </c>
      <c r="Q53" s="48">
        <f t="shared" si="21"/>
        <v>0</v>
      </c>
      <c r="R53" s="48">
        <f t="shared" si="22"/>
        <v>0</v>
      </c>
      <c r="S53" s="48">
        <f>IF(SUM(O53:R53)=0,0,SUM(O53:R53)-4)</f>
        <v>0</v>
      </c>
      <c r="T53" s="48">
        <f t="shared" si="14"/>
        <v>0</v>
      </c>
      <c r="U53" s="113">
        <f t="shared" si="12"/>
        <v>0</v>
      </c>
      <c r="V53" s="48" t="str">
        <f>IFERROR(VLOOKUP($B52,$D$202:$L$226,6,FALSE),"")</f>
        <v/>
      </c>
      <c r="W53" s="48" t="str">
        <f>IFERROR(VLOOKUP($B52,$D$202:$L$226,7,FALSE),"")</f>
        <v/>
      </c>
      <c r="X53" s="48" t="str">
        <f>IFERROR(VLOOKUP($B52,$D$202:$L$226,8,FALSE),"")</f>
        <v/>
      </c>
      <c r="Y53" s="48" t="str">
        <f>IFERROR(VLOOKUP($B52,$D$202:$L$226,9,FALSE),"")</f>
        <v/>
      </c>
      <c r="AA53" s="48" t="str">
        <f>IF(B52="","",IF(V53="","N","Y"))</f>
        <v/>
      </c>
    </row>
    <row r="54" spans="1:27" s="39" customFormat="1" ht="30" customHeight="1">
      <c r="A54" s="74" t="str">
        <f>IF(B54="","",A52+1)</f>
        <v/>
      </c>
      <c r="B54" s="209" t="str">
        <f>IF($D167="","",D167)</f>
        <v/>
      </c>
      <c r="C54" s="209"/>
      <c r="D54" s="197" t="str">
        <f>M54</f>
        <v/>
      </c>
      <c r="E54" s="139"/>
      <c r="F54" s="130" t="str">
        <f>IF($A54&gt;$F$144,"",F$9)</f>
        <v/>
      </c>
      <c r="G54" s="89" t="str">
        <f t="shared" si="15"/>
        <v/>
      </c>
      <c r="H54" s="107" t="str">
        <f t="shared" si="16"/>
        <v/>
      </c>
      <c r="I54" s="107" t="str">
        <f t="shared" si="17"/>
        <v/>
      </c>
      <c r="J54" s="107" t="str">
        <f t="shared" si="18"/>
        <v/>
      </c>
      <c r="K54" s="107" t="str">
        <f t="shared" si="18"/>
        <v/>
      </c>
      <c r="M54" s="138" t="str">
        <f>H167</f>
        <v/>
      </c>
      <c r="O54" s="48">
        <f t="shared" si="19"/>
        <v>0</v>
      </c>
      <c r="P54" s="48">
        <f t="shared" si="20"/>
        <v>0</v>
      </c>
      <c r="Q54" s="48">
        <f t="shared" si="21"/>
        <v>0</v>
      </c>
      <c r="R54" s="48">
        <f t="shared" si="22"/>
        <v>0</v>
      </c>
      <c r="S54" s="48">
        <f t="shared" si="23"/>
        <v>0</v>
      </c>
      <c r="T54" s="48">
        <f t="shared" si="14"/>
        <v>0</v>
      </c>
      <c r="U54" s="113">
        <f t="shared" si="12"/>
        <v>0</v>
      </c>
      <c r="V54" s="48" t="str">
        <f>IFERROR(VLOOKUP($B54,$D$174:$L$198,6,FALSE),"")</f>
        <v/>
      </c>
      <c r="W54" s="48" t="str">
        <f>IFERROR(VLOOKUP($B54,$D$174:$L$198,7,FALSE),"")</f>
        <v/>
      </c>
      <c r="X54" s="48" t="str">
        <f>IFERROR(VLOOKUP($B54,$D$174:$L$198,8,FALSE),"")</f>
        <v/>
      </c>
      <c r="Y54" s="48" t="str">
        <f>IFERROR(VLOOKUP($B54,$D$174:$L$198,9,FALSE),"")</f>
        <v/>
      </c>
      <c r="AA54" s="48" t="str">
        <f>IF(B54="","",IF(V54="","N","Y"))</f>
        <v/>
      </c>
    </row>
    <row r="55" spans="1:27" s="39" customFormat="1" ht="30" customHeight="1">
      <c r="A55" s="74" t="str">
        <f>IF(B54="","",A52+1)</f>
        <v/>
      </c>
      <c r="B55" s="210"/>
      <c r="C55" s="210"/>
      <c r="D55" s="197"/>
      <c r="E55" s="87"/>
      <c r="F55" s="131" t="str">
        <f>IF($A55&gt;$F$144,"",F$10)</f>
        <v/>
      </c>
      <c r="G55" s="89" t="str">
        <f t="shared" si="15"/>
        <v/>
      </c>
      <c r="H55" s="107" t="str">
        <f t="shared" si="16"/>
        <v/>
      </c>
      <c r="I55" s="107" t="str">
        <f t="shared" si="17"/>
        <v/>
      </c>
      <c r="J55" s="107" t="str">
        <f t="shared" si="18"/>
        <v/>
      </c>
      <c r="K55" s="107" t="str">
        <f t="shared" si="18"/>
        <v/>
      </c>
      <c r="O55" s="48">
        <f t="shared" si="19"/>
        <v>0</v>
      </c>
      <c r="P55" s="48">
        <f t="shared" si="20"/>
        <v>0</v>
      </c>
      <c r="Q55" s="48">
        <f t="shared" si="21"/>
        <v>0</v>
      </c>
      <c r="R55" s="48">
        <f t="shared" si="22"/>
        <v>0</v>
      </c>
      <c r="S55" s="48">
        <f>IF(SUM(O55:R55)=0,0,SUM(O55:R55)-4)</f>
        <v>0</v>
      </c>
      <c r="T55" s="48">
        <f t="shared" si="14"/>
        <v>0</v>
      </c>
      <c r="U55" s="113">
        <f t="shared" si="12"/>
        <v>0</v>
      </c>
      <c r="V55" s="48" t="str">
        <f>IFERROR(VLOOKUP($B54,$D$202:$L$226,6,FALSE),"")</f>
        <v/>
      </c>
      <c r="W55" s="48" t="str">
        <f>IFERROR(VLOOKUP($B54,$D$202:$L$226,7,FALSE),"")</f>
        <v/>
      </c>
      <c r="X55" s="48" t="str">
        <f>IFERROR(VLOOKUP($B54,$D$202:$L$226,8,FALSE),"")</f>
        <v/>
      </c>
      <c r="Y55" s="48" t="str">
        <f>IFERROR(VLOOKUP($B54,$D$202:$L$226,9,FALSE),"")</f>
        <v/>
      </c>
      <c r="AA55" s="48" t="str">
        <f>IF(B54="","",IF(V55="","N","Y"))</f>
        <v/>
      </c>
    </row>
    <row r="56" spans="1:27" s="39" customFormat="1" ht="30" customHeight="1">
      <c r="A56" s="74" t="str">
        <f>IF(B56="","",A54+1)</f>
        <v/>
      </c>
      <c r="B56" s="209" t="str">
        <f>IF($D168="","",D168)</f>
        <v/>
      </c>
      <c r="C56" s="209"/>
      <c r="D56" s="197" t="str">
        <f>M56</f>
        <v/>
      </c>
      <c r="E56" s="139"/>
      <c r="F56" s="130" t="str">
        <f>IF($A56&gt;$F$144,"",F$9)</f>
        <v/>
      </c>
      <c r="G56" s="89" t="str">
        <f t="shared" si="15"/>
        <v/>
      </c>
      <c r="H56" s="107" t="str">
        <f t="shared" si="16"/>
        <v/>
      </c>
      <c r="I56" s="107" t="str">
        <f t="shared" si="17"/>
        <v/>
      </c>
      <c r="J56" s="107" t="str">
        <f t="shared" si="18"/>
        <v/>
      </c>
      <c r="K56" s="107" t="str">
        <f t="shared" si="18"/>
        <v/>
      </c>
      <c r="M56" s="138" t="str">
        <f>H168</f>
        <v/>
      </c>
      <c r="O56" s="48">
        <f t="shared" si="19"/>
        <v>0</v>
      </c>
      <c r="P56" s="48">
        <f t="shared" si="20"/>
        <v>0</v>
      </c>
      <c r="Q56" s="48">
        <f t="shared" si="21"/>
        <v>0</v>
      </c>
      <c r="R56" s="48">
        <f t="shared" si="22"/>
        <v>0</v>
      </c>
      <c r="S56" s="48">
        <f t="shared" si="23"/>
        <v>0</v>
      </c>
      <c r="T56" s="48">
        <f t="shared" si="14"/>
        <v>0</v>
      </c>
      <c r="U56" s="113">
        <f t="shared" si="12"/>
        <v>0</v>
      </c>
      <c r="V56" s="48" t="str">
        <f>IFERROR(VLOOKUP($B56,$D$174:$L$198,6,FALSE),"")</f>
        <v/>
      </c>
      <c r="W56" s="48" t="str">
        <f>IFERROR(VLOOKUP($B56,$D$174:$L$198,7,FALSE),"")</f>
        <v/>
      </c>
      <c r="X56" s="48" t="str">
        <f>IFERROR(VLOOKUP($B56,$D$174:$L$198,8,FALSE),"")</f>
        <v/>
      </c>
      <c r="Y56" s="48" t="str">
        <f>IFERROR(VLOOKUP($B56,$D$174:$L$198,9,FALSE),"")</f>
        <v/>
      </c>
      <c r="AA56" s="48" t="str">
        <f>IF(B56="","",IF(V56="","N","Y"))</f>
        <v/>
      </c>
    </row>
    <row r="57" spans="1:27" s="39" customFormat="1" ht="30" customHeight="1">
      <c r="A57" s="74" t="str">
        <f>IF(B56="","",A54+1)</f>
        <v/>
      </c>
      <c r="B57" s="210"/>
      <c r="C57" s="210"/>
      <c r="D57" s="197"/>
      <c r="E57" s="87"/>
      <c r="F57" s="131" t="str">
        <f>IF($A57&gt;$F$144,"",F$10)</f>
        <v/>
      </c>
      <c r="G57" s="89" t="str">
        <f t="shared" si="15"/>
        <v/>
      </c>
      <c r="H57" s="107" t="str">
        <f t="shared" si="16"/>
        <v/>
      </c>
      <c r="I57" s="107" t="str">
        <f t="shared" si="17"/>
        <v/>
      </c>
      <c r="J57" s="107" t="str">
        <f t="shared" si="18"/>
        <v/>
      </c>
      <c r="K57" s="107" t="str">
        <f t="shared" si="18"/>
        <v/>
      </c>
      <c r="O57" s="48">
        <f t="shared" si="19"/>
        <v>0</v>
      </c>
      <c r="P57" s="48">
        <f t="shared" si="20"/>
        <v>0</v>
      </c>
      <c r="Q57" s="48">
        <f t="shared" si="21"/>
        <v>0</v>
      </c>
      <c r="R57" s="48">
        <f t="shared" si="22"/>
        <v>0</v>
      </c>
      <c r="S57" s="48">
        <f>IF(SUM(O57:R57)=0,0,SUM(O57:R57)-4)</f>
        <v>0</v>
      </c>
      <c r="T57" s="48">
        <f t="shared" si="14"/>
        <v>0</v>
      </c>
      <c r="U57" s="113">
        <f t="shared" si="12"/>
        <v>0</v>
      </c>
      <c r="V57" s="48" t="str">
        <f>IFERROR(VLOOKUP($B56,$D$202:$L$226,6,FALSE),"")</f>
        <v/>
      </c>
      <c r="W57" s="48" t="str">
        <f>IFERROR(VLOOKUP($B56,$D$202:$L$226,7,FALSE),"")</f>
        <v/>
      </c>
      <c r="X57" s="48" t="str">
        <f>IFERROR(VLOOKUP($B56,$D$202:$L$226,8,FALSE),"")</f>
        <v/>
      </c>
      <c r="Y57" s="48" t="str">
        <f>IFERROR(VLOOKUP($B56,$D$202:$L$226,9,FALSE),"")</f>
        <v/>
      </c>
      <c r="AA57" s="48" t="str">
        <f>IF(B56="","",IF(V57="","N","Y"))</f>
        <v/>
      </c>
    </row>
    <row r="58" spans="1:27" s="39" customFormat="1" ht="30" customHeight="1">
      <c r="A58" s="74" t="str">
        <f>IF(B58="","",A56+1)</f>
        <v/>
      </c>
      <c r="B58" s="209" t="str">
        <f>IF($D169="","",D169)</f>
        <v/>
      </c>
      <c r="C58" s="209"/>
      <c r="D58" s="197" t="str">
        <f>M58</f>
        <v/>
      </c>
      <c r="E58" s="139"/>
      <c r="F58" s="130" t="str">
        <f>IF($A58&gt;$F$144,"",F$9)</f>
        <v/>
      </c>
      <c r="G58" s="89" t="str">
        <f t="shared" si="15"/>
        <v/>
      </c>
      <c r="H58" s="107" t="str">
        <f t="shared" si="16"/>
        <v/>
      </c>
      <c r="I58" s="107" t="str">
        <f t="shared" si="17"/>
        <v/>
      </c>
      <c r="J58" s="107" t="str">
        <f t="shared" si="18"/>
        <v/>
      </c>
      <c r="K58" s="107" t="str">
        <f t="shared" si="18"/>
        <v/>
      </c>
      <c r="M58" s="138" t="str">
        <f>H169</f>
        <v/>
      </c>
      <c r="O58" s="48">
        <f t="shared" si="19"/>
        <v>0</v>
      </c>
      <c r="P58" s="48">
        <f t="shared" si="20"/>
        <v>0</v>
      </c>
      <c r="Q58" s="48">
        <f t="shared" si="21"/>
        <v>0</v>
      </c>
      <c r="R58" s="48">
        <f t="shared" si="22"/>
        <v>0</v>
      </c>
      <c r="S58" s="48">
        <f t="shared" si="23"/>
        <v>0</v>
      </c>
      <c r="T58" s="48">
        <f t="shared" si="14"/>
        <v>0</v>
      </c>
      <c r="U58" s="113">
        <f t="shared" si="12"/>
        <v>0</v>
      </c>
      <c r="V58" s="48" t="str">
        <f>IFERROR(VLOOKUP($B58,$D$174:$L$198,6,FALSE),"")</f>
        <v/>
      </c>
      <c r="W58" s="48" t="str">
        <f>IFERROR(VLOOKUP($B58,$D$174:$L$198,7,FALSE),"")</f>
        <v/>
      </c>
      <c r="X58" s="48" t="str">
        <f>IFERROR(VLOOKUP($B58,$D$174:$L$198,8,FALSE),"")</f>
        <v/>
      </c>
      <c r="Y58" s="48" t="str">
        <f>IFERROR(VLOOKUP($B58,$D$174:$L$198,9,FALSE),"")</f>
        <v/>
      </c>
      <c r="AA58" s="48" t="str">
        <f>IF(B58="","",IF(V58="","N","Y"))</f>
        <v/>
      </c>
    </row>
    <row r="59" spans="1:27" s="39" customFormat="1" ht="30" customHeight="1">
      <c r="A59" s="74" t="str">
        <f>IF(B58="","",A56+1)</f>
        <v/>
      </c>
      <c r="B59" s="210"/>
      <c r="C59" s="210"/>
      <c r="D59" s="197"/>
      <c r="E59" s="87"/>
      <c r="F59" s="131" t="str">
        <f>IF($A59&gt;$F$144,"",F$10)</f>
        <v/>
      </c>
      <c r="G59" s="89" t="str">
        <f t="shared" si="15"/>
        <v/>
      </c>
      <c r="H59" s="107" t="str">
        <f t="shared" si="16"/>
        <v/>
      </c>
      <c r="I59" s="107" t="str">
        <f t="shared" si="17"/>
        <v/>
      </c>
      <c r="J59" s="107" t="str">
        <f t="shared" si="18"/>
        <v/>
      </c>
      <c r="K59" s="107" t="str">
        <f t="shared" si="18"/>
        <v/>
      </c>
      <c r="O59" s="48">
        <f t="shared" si="19"/>
        <v>0</v>
      </c>
      <c r="P59" s="48">
        <f t="shared" si="20"/>
        <v>0</v>
      </c>
      <c r="Q59" s="48">
        <f t="shared" si="21"/>
        <v>0</v>
      </c>
      <c r="R59" s="48">
        <f t="shared" si="22"/>
        <v>0</v>
      </c>
      <c r="S59" s="48">
        <f>IF(SUM(O59:R59)=0,0,SUM(O59:R59)-4)</f>
        <v>0</v>
      </c>
      <c r="T59" s="48">
        <f t="shared" si="14"/>
        <v>0</v>
      </c>
      <c r="U59" s="113">
        <f t="shared" si="12"/>
        <v>0</v>
      </c>
      <c r="V59" s="48" t="str">
        <f>IFERROR(VLOOKUP($B58,$D$202:$L$226,6,FALSE),"")</f>
        <v/>
      </c>
      <c r="W59" s="48" t="str">
        <f>IFERROR(VLOOKUP($B58,$D$202:$L$226,7,FALSE),"")</f>
        <v/>
      </c>
      <c r="X59" s="48" t="str">
        <f>IFERROR(VLOOKUP($B58,$D$202:$L$226,8,FALSE),"")</f>
        <v/>
      </c>
      <c r="Y59" s="48" t="str">
        <f>IFERROR(VLOOKUP($B58,$D$202:$L$226,9,FALSE),"")</f>
        <v/>
      </c>
      <c r="AA59" s="48" t="str">
        <f>IF(B58="","",IF(V59="","N","Y"))</f>
        <v/>
      </c>
    </row>
    <row r="60" spans="1:27" s="39" customFormat="1" ht="30" customHeight="1">
      <c r="A60" s="74" t="str">
        <f>IF(B60="","",A58+1)</f>
        <v/>
      </c>
      <c r="B60" s="209" t="str">
        <f>IF($D170="","",D170)</f>
        <v/>
      </c>
      <c r="C60" s="209"/>
      <c r="D60" s="197" t="str">
        <f>M60</f>
        <v/>
      </c>
      <c r="E60" s="139"/>
      <c r="F60" s="130" t="str">
        <f>IF($A60&gt;$F$144,"",F$9)</f>
        <v/>
      </c>
      <c r="G60" s="89" t="str">
        <f t="shared" si="15"/>
        <v/>
      </c>
      <c r="H60" s="107" t="str">
        <f t="shared" si="16"/>
        <v/>
      </c>
      <c r="I60" s="107" t="str">
        <f t="shared" si="17"/>
        <v/>
      </c>
      <c r="J60" s="107" t="str">
        <f t="shared" si="18"/>
        <v/>
      </c>
      <c r="K60" s="107" t="str">
        <f t="shared" si="18"/>
        <v/>
      </c>
      <c r="M60" s="138" t="str">
        <f>H170</f>
        <v/>
      </c>
      <c r="O60" s="48">
        <f t="shared" si="19"/>
        <v>0</v>
      </c>
      <c r="P60" s="48">
        <f t="shared" si="20"/>
        <v>0</v>
      </c>
      <c r="Q60" s="48">
        <f t="shared" si="21"/>
        <v>0</v>
      </c>
      <c r="R60" s="48">
        <f t="shared" si="22"/>
        <v>0</v>
      </c>
      <c r="S60" s="48">
        <f t="shared" si="23"/>
        <v>0</v>
      </c>
      <c r="T60" s="48">
        <f t="shared" si="14"/>
        <v>0</v>
      </c>
      <c r="U60" s="113">
        <f t="shared" si="12"/>
        <v>0</v>
      </c>
      <c r="V60" s="48" t="str">
        <f>IFERROR(VLOOKUP($B60,$D$174:$L$198,6,FALSE),"")</f>
        <v/>
      </c>
      <c r="W60" s="48" t="str">
        <f>IFERROR(VLOOKUP($B60,$D$174:$L$198,7,FALSE),"")</f>
        <v/>
      </c>
      <c r="X60" s="48" t="str">
        <f>IFERROR(VLOOKUP($B60,$D$174:$L$198,8,FALSE),"")</f>
        <v/>
      </c>
      <c r="Y60" s="48" t="str">
        <f>IFERROR(VLOOKUP($B60,$D$174:$L$198,9,FALSE),"")</f>
        <v/>
      </c>
      <c r="AA60" s="48" t="str">
        <f>IF(B60="","",IF(V60="","N","Y"))</f>
        <v/>
      </c>
    </row>
    <row r="61" spans="1:27" s="39" customFormat="1" ht="30" customHeight="1">
      <c r="A61" s="74" t="str">
        <f>IF(B60="","",A58+1)</f>
        <v/>
      </c>
      <c r="B61" s="210"/>
      <c r="C61" s="210"/>
      <c r="D61" s="197"/>
      <c r="E61" s="87"/>
      <c r="F61" s="131" t="str">
        <f>IF($A61&gt;$F$144,"",F$10)</f>
        <v/>
      </c>
      <c r="G61" s="89" t="str">
        <f t="shared" si="15"/>
        <v/>
      </c>
      <c r="H61" s="107" t="str">
        <f t="shared" si="16"/>
        <v/>
      </c>
      <c r="I61" s="107" t="str">
        <f t="shared" si="17"/>
        <v/>
      </c>
      <c r="J61" s="107" t="str">
        <f t="shared" si="18"/>
        <v/>
      </c>
      <c r="K61" s="107" t="str">
        <f t="shared" si="18"/>
        <v/>
      </c>
      <c r="O61" s="48">
        <f t="shared" si="19"/>
        <v>0</v>
      </c>
      <c r="P61" s="48">
        <f t="shared" si="20"/>
        <v>0</v>
      </c>
      <c r="Q61" s="48">
        <f t="shared" si="21"/>
        <v>0</v>
      </c>
      <c r="R61" s="48">
        <f t="shared" si="22"/>
        <v>0</v>
      </c>
      <c r="S61" s="48">
        <f t="shared" ref="S61" si="24">IF(SUM(O61:R61)=0,0,SUM(O61:R61)-4)</f>
        <v>0</v>
      </c>
      <c r="T61" s="48">
        <f t="shared" si="14"/>
        <v>0</v>
      </c>
      <c r="U61" s="113">
        <f t="shared" si="12"/>
        <v>0</v>
      </c>
      <c r="V61" s="48" t="str">
        <f>IFERROR(VLOOKUP($B60,$D$202:$L$226,6,FALSE),"")</f>
        <v/>
      </c>
      <c r="W61" s="48" t="str">
        <f>IFERROR(VLOOKUP($B60,$D$202:$L$226,7,FALSE),"")</f>
        <v/>
      </c>
      <c r="X61" s="48" t="str">
        <f>IFERROR(VLOOKUP($B60,$D$202:$L$226,8,FALSE),"")</f>
        <v/>
      </c>
      <c r="Y61" s="48" t="str">
        <f>IFERROR(VLOOKUP($B60,$D$202:$L$226,9,FALSE),"")</f>
        <v/>
      </c>
      <c r="AA61" s="48" t="str">
        <f>IF(B60="","",IF(V61="","N","Y"))</f>
        <v/>
      </c>
    </row>
    <row r="62" spans="1:27">
      <c r="A62" s="74" t="str">
        <f>IF(B62="","",A60+1)</f>
        <v/>
      </c>
    </row>
    <row r="63" spans="1:27">
      <c r="A63" s="74" t="str">
        <f>IF(B62="","",A60+1)</f>
        <v/>
      </c>
    </row>
    <row r="65" spans="4:47" ht="15.95" customHeight="1">
      <c r="D65" s="192">
        <v>1</v>
      </c>
      <c r="E65" s="192"/>
      <c r="F65" s="192"/>
      <c r="G65" s="192"/>
      <c r="H65" s="192"/>
      <c r="I65" s="192"/>
      <c r="J65" s="42"/>
      <c r="K65" s="42"/>
      <c r="L65" s="42"/>
      <c r="M65" s="42">
        <v>5</v>
      </c>
      <c r="N65" s="42"/>
      <c r="O65" s="42"/>
      <c r="P65" s="42"/>
      <c r="Q65" s="42"/>
      <c r="R65" s="42"/>
      <c r="S65" s="42"/>
      <c r="T65" s="42"/>
      <c r="U65" s="192">
        <v>6</v>
      </c>
      <c r="V65" s="192"/>
      <c r="W65" s="192"/>
      <c r="X65" s="192"/>
      <c r="Y65" s="192"/>
      <c r="Z65" s="192"/>
      <c r="AA65" s="192"/>
      <c r="AB65" s="192"/>
      <c r="AC65" s="192">
        <v>7</v>
      </c>
      <c r="AD65" s="192"/>
      <c r="AE65" s="192"/>
      <c r="AF65" s="192"/>
      <c r="AG65" s="192"/>
      <c r="AH65" s="192"/>
      <c r="AI65" s="192"/>
      <c r="AJ65" s="192"/>
      <c r="AK65" s="192">
        <v>8</v>
      </c>
      <c r="AL65" s="192"/>
      <c r="AM65" s="192"/>
      <c r="AN65" s="192"/>
      <c r="AO65" s="192"/>
      <c r="AP65" s="192"/>
      <c r="AQ65" s="192"/>
      <c r="AR65" s="192"/>
      <c r="AS65" s="42"/>
      <c r="AT65" s="42"/>
      <c r="AU65" s="42"/>
    </row>
    <row r="143" spans="1:33" ht="14.25">
      <c r="A143" s="144"/>
      <c r="B143" s="52"/>
    </row>
    <row r="144" spans="1:33" ht="14.25" hidden="1">
      <c r="A144" s="42"/>
      <c r="B144" s="42"/>
      <c r="C144" s="71" t="str">
        <f>KEY!$D$2</f>
        <v>Q4</v>
      </c>
      <c r="D144" s="41" t="str">
        <f>$D$1</f>
        <v>Arizona</v>
      </c>
      <c r="E144" s="77">
        <f>IFERROR(VLOOKUP($D144,KEY!$K$6:$M$55,3,FALSE),"")</f>
        <v>18</v>
      </c>
      <c r="F144" s="53">
        <f>IFERROR(VLOOKUP($D144,KEY!$K$6:$M$55,3,FALSE),"")</f>
        <v>18</v>
      </c>
      <c r="G144" s="54">
        <f>KEY!$E$2</f>
        <v>2</v>
      </c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4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</row>
    <row r="145" spans="1:18" ht="48" hidden="1" customHeight="1">
      <c r="A145" s="42">
        <v>0</v>
      </c>
      <c r="B145" s="42"/>
      <c r="C145" s="41" t="s">
        <v>21</v>
      </c>
      <c r="D145" s="41" t="s">
        <v>34</v>
      </c>
      <c r="E145" s="53" t="s">
        <v>23</v>
      </c>
      <c r="F145" s="53" t="s">
        <v>24</v>
      </c>
      <c r="G145" s="53" t="s">
        <v>25</v>
      </c>
      <c r="H145" s="53" t="s">
        <v>26</v>
      </c>
      <c r="I145" s="55" t="s">
        <v>3</v>
      </c>
      <c r="J145" s="55" t="s">
        <v>4</v>
      </c>
      <c r="K145" s="55" t="s">
        <v>5</v>
      </c>
      <c r="L145" s="55" t="s">
        <v>6</v>
      </c>
      <c r="M145" s="55"/>
      <c r="N145" s="55"/>
      <c r="O145" s="55"/>
      <c r="P145" s="55"/>
      <c r="Q145" s="55"/>
      <c r="R145" s="55"/>
    </row>
    <row r="146" spans="1:18" ht="14.25" hidden="1">
      <c r="A146" s="42">
        <v>1</v>
      </c>
      <c r="B146" s="78" t="str">
        <f>IF(A146&gt;$E$144,"",$D$144&amp;"_"&amp;A146)</f>
        <v>Arizona_1</v>
      </c>
      <c r="C146" s="71" t="str">
        <f>$C$144</f>
        <v>Q4</v>
      </c>
      <c r="D146" s="41" t="str">
        <f>IF(A146="","",VLOOKUP($B146,KEY!$B$6:$D$74,3,FALSE))</f>
        <v>Acura North Scottsdale</v>
      </c>
      <c r="E146" s="53" t="str">
        <f>IFERROR(VLOOKUP($D146,KEY!$K$6:$M$55,3,FALSE),"")</f>
        <v/>
      </c>
      <c r="F146" s="67">
        <f>IF($D146="","",F174+F202)</f>
        <v>8</v>
      </c>
      <c r="G146" s="67">
        <f>IF($D146="","",G174+G202)</f>
        <v>8</v>
      </c>
      <c r="H146" s="63">
        <f>IF($D146="","",G146/F146)</f>
        <v>1</v>
      </c>
      <c r="I146" s="63">
        <f>IF($D174="","",COUNTIFS(WORKSHEET!M$3:M$1077,"YES*",WORKSHEET!$B$3:$B$1077,$C146,WORKSHEET!$D$3:$D$1077,$D174)/COUNTIFS(WORKSHEET!$B$3:$B$1077,$C146,WORKSHEET!$D$3:$D$1077,$D174))</f>
        <v>1</v>
      </c>
      <c r="J146" s="63">
        <f>IF($D174="","",COUNTIFS(WORKSHEET!N$3:N$1077,"YES*",WORKSHEET!$B$3:$B$1077,$C146,WORKSHEET!$D$3:$D$1077,$D174)/COUNTIFS(WORKSHEET!$B$3:$B$1077,$C146,WORKSHEET!$D$3:$D$1077,$D174))</f>
        <v>1</v>
      </c>
      <c r="K146" s="63">
        <f>IF($D174="","",COUNTIFS(WORKSHEET!O$3:O$1077,"YES*",WORKSHEET!$B$3:$B$1077,$C146,WORKSHEET!$D$3:$D$1077,$D174)/COUNTIFS(WORKSHEET!$B$3:$B$1077,$C146,WORKSHEET!$D$3:$D$1077,$D174))</f>
        <v>1</v>
      </c>
      <c r="L146" s="63">
        <f>IF($D174="","",COUNTIFS(WORKSHEET!P$3:P$1077,"YES*",WORKSHEET!$B$3:$B$1077,$C146,WORKSHEET!$D$3:$D$1077,$D174)/COUNTIFS(WORKSHEET!$B$3:$B$1077,$C146,WORKSHEET!$D$3:$D$1077,$D174))</f>
        <v>1</v>
      </c>
      <c r="M146" s="63"/>
      <c r="N146" s="63"/>
      <c r="O146" s="63"/>
      <c r="P146" s="63"/>
      <c r="Q146" s="63"/>
      <c r="R146" s="63"/>
    </row>
    <row r="147" spans="1:18" ht="14.25" hidden="1">
      <c r="A147" s="42">
        <f>IF(A146="","",IF(A146&lt;$E$144,A146+1,""))</f>
        <v>2</v>
      </c>
      <c r="B147" s="78" t="str">
        <f t="shared" ref="B147:B170" si="25">IF(A147&gt;$E$144,"",$D$144&amp;"_"&amp;A147)</f>
        <v>Arizona_2</v>
      </c>
      <c r="C147" s="41" t="str">
        <f t="shared" ref="C147:C171" si="26">$C$144</f>
        <v>Q4</v>
      </c>
      <c r="D147" s="41" t="str">
        <f>IF(A147="","",VLOOKUP($B147,KEY!$B$6:$D$74,3,FALSE))</f>
        <v>Audi Chandler</v>
      </c>
      <c r="E147" s="53" t="str">
        <f>IFERROR(VLOOKUP($D147,KEY!$K$6:$M$55,3,FALSE),"")</f>
        <v/>
      </c>
      <c r="F147" s="67">
        <f t="shared" ref="F147:G147" si="27">IF($D147="","",F175+F203)</f>
        <v>8</v>
      </c>
      <c r="G147" s="67">
        <f t="shared" si="27"/>
        <v>8</v>
      </c>
      <c r="H147" s="63">
        <f t="shared" ref="H147:H171" si="28">IF($D147="","",G147/F147)</f>
        <v>1</v>
      </c>
      <c r="I147" s="63">
        <f>IF($D175="","",COUNTIFS(WORKSHEET!M$3:M$1077,"YES*",WORKSHEET!$B$3:$B$1077,$C147,WORKSHEET!$D$3:$D$1077,$D175)/COUNTIFS(WORKSHEET!$B$3:$B$1077,$C147,WORKSHEET!$D$3:$D$1077,$D175))</f>
        <v>1</v>
      </c>
      <c r="J147" s="63">
        <f>IF($D175="","",COUNTIFS(WORKSHEET!N$3:N$1077,"YES*",WORKSHEET!$B$3:$B$1077,$C147,WORKSHEET!$D$3:$D$1077,$D175)/COUNTIFS(WORKSHEET!$B$3:$B$1077,$C147,WORKSHEET!$D$3:$D$1077,$D175))</f>
        <v>1</v>
      </c>
      <c r="K147" s="63">
        <f>IF($D175="","",COUNTIFS(WORKSHEET!O$3:O$1077,"YES*",WORKSHEET!$B$3:$B$1077,$C147,WORKSHEET!$D$3:$D$1077,$D175)/COUNTIFS(WORKSHEET!$B$3:$B$1077,$C147,WORKSHEET!$D$3:$D$1077,$D175))</f>
        <v>1</v>
      </c>
      <c r="L147" s="63">
        <f>IF($D175="","",COUNTIFS(WORKSHEET!P$3:P$1077,"YES*",WORKSHEET!$B$3:$B$1077,$C147,WORKSHEET!$D$3:$D$1077,$D175)/COUNTIFS(WORKSHEET!$B$3:$B$1077,$C147,WORKSHEET!$D$3:$D$1077,$D175))</f>
        <v>1</v>
      </c>
      <c r="M147" s="63"/>
      <c r="N147" s="63"/>
      <c r="O147" s="63"/>
      <c r="P147" s="63"/>
      <c r="Q147" s="63"/>
      <c r="R147" s="63"/>
    </row>
    <row r="148" spans="1:18" ht="14.25" hidden="1">
      <c r="A148" s="42">
        <f t="shared" ref="A148:A170" si="29">IF(A147="","",IF(A147&lt;$E$144,A147+1,""))</f>
        <v>3</v>
      </c>
      <c r="B148" s="78" t="str">
        <f t="shared" si="25"/>
        <v>Arizona_3</v>
      </c>
      <c r="C148" s="41" t="str">
        <f t="shared" si="26"/>
        <v>Q4</v>
      </c>
      <c r="D148" s="41" t="str">
        <f>IF(A148="","",VLOOKUP($B148,KEY!$B$6:$D$74,3,FALSE))</f>
        <v>Audi North Scottsdale</v>
      </c>
      <c r="E148" s="53" t="str">
        <f>IFERROR(VLOOKUP($D148,KEY!$K$6:$M$55,3,FALSE),"")</f>
        <v/>
      </c>
      <c r="F148" s="67">
        <f t="shared" ref="F148:G148" si="30">IF($D148="","",F176+F204)</f>
        <v>8</v>
      </c>
      <c r="G148" s="67">
        <f t="shared" si="30"/>
        <v>8</v>
      </c>
      <c r="H148" s="63">
        <f t="shared" si="28"/>
        <v>1</v>
      </c>
      <c r="I148" s="63">
        <f>IF($D176="","",COUNTIFS(WORKSHEET!M$3:M$1077,"YES*",WORKSHEET!$B$3:$B$1077,$C148,WORKSHEET!$D$3:$D$1077,$D176)/COUNTIFS(WORKSHEET!$B$3:$B$1077,$C148,WORKSHEET!$D$3:$D$1077,$D176))</f>
        <v>1</v>
      </c>
      <c r="J148" s="63">
        <f>IF($D176="","",COUNTIFS(WORKSHEET!N$3:N$1077,"YES*",WORKSHEET!$B$3:$B$1077,$C148,WORKSHEET!$D$3:$D$1077,$D176)/COUNTIFS(WORKSHEET!$B$3:$B$1077,$C148,WORKSHEET!$D$3:$D$1077,$D176))</f>
        <v>1</v>
      </c>
      <c r="K148" s="63">
        <f>IF($D176="","",COUNTIFS(WORKSHEET!O$3:O$1077,"YES*",WORKSHEET!$B$3:$B$1077,$C148,WORKSHEET!$D$3:$D$1077,$D176)/COUNTIFS(WORKSHEET!$B$3:$B$1077,$C148,WORKSHEET!$D$3:$D$1077,$D176))</f>
        <v>1</v>
      </c>
      <c r="L148" s="63">
        <f>IF($D176="","",COUNTIFS(WORKSHEET!P$3:P$1077,"YES*",WORKSHEET!$B$3:$B$1077,$C148,WORKSHEET!$D$3:$D$1077,$D176)/COUNTIFS(WORKSHEET!$B$3:$B$1077,$C148,WORKSHEET!$D$3:$D$1077,$D176))</f>
        <v>1</v>
      </c>
      <c r="M148" s="63"/>
      <c r="N148" s="63"/>
      <c r="O148" s="63"/>
      <c r="P148" s="63"/>
      <c r="Q148" s="63"/>
      <c r="R148" s="63"/>
    </row>
    <row r="149" spans="1:18" ht="14.25" hidden="1">
      <c r="A149" s="42">
        <f t="shared" si="29"/>
        <v>4</v>
      </c>
      <c r="B149" s="78" t="str">
        <f t="shared" si="25"/>
        <v>Arizona_4</v>
      </c>
      <c r="C149" s="41" t="str">
        <f t="shared" si="26"/>
        <v>Q4</v>
      </c>
      <c r="D149" s="41" t="str">
        <f>IF(A149="","",VLOOKUP($B149,KEY!$B$6:$D$74,3,FALSE))</f>
        <v>Bentley Scottsdale</v>
      </c>
      <c r="E149" s="53" t="str">
        <f>IFERROR(VLOOKUP($D149,KEY!$K$6:$M$55,3,FALSE),"")</f>
        <v/>
      </c>
      <c r="F149" s="67">
        <f t="shared" ref="F149:G149" si="31">IF($D149="","",F177+F205)</f>
        <v>8</v>
      </c>
      <c r="G149" s="67">
        <f t="shared" si="31"/>
        <v>6</v>
      </c>
      <c r="H149" s="63">
        <f t="shared" si="28"/>
        <v>0.75</v>
      </c>
      <c r="I149" s="63">
        <f>IF($D177="","",COUNTIFS(WORKSHEET!M$3:M$1077,"YES*",WORKSHEET!$B$3:$B$1077,$C149,WORKSHEET!$D$3:$D$1077,$D177)/COUNTIFS(WORKSHEET!$B$3:$B$1077,$C149,WORKSHEET!$D$3:$D$1077,$D177))</f>
        <v>0.5</v>
      </c>
      <c r="J149" s="63">
        <f>IF($D177="","",COUNTIFS(WORKSHEET!N$3:N$1077,"YES*",WORKSHEET!$B$3:$B$1077,$C149,WORKSHEET!$D$3:$D$1077,$D177)/COUNTIFS(WORKSHEET!$B$3:$B$1077,$C149,WORKSHEET!$D$3:$D$1077,$D177))</f>
        <v>0.5</v>
      </c>
      <c r="K149" s="63">
        <f>IF($D177="","",COUNTIFS(WORKSHEET!O$3:O$1077,"YES*",WORKSHEET!$B$3:$B$1077,$C149,WORKSHEET!$D$3:$D$1077,$D177)/COUNTIFS(WORKSHEET!$B$3:$B$1077,$C149,WORKSHEET!$D$3:$D$1077,$D177))</f>
        <v>1</v>
      </c>
      <c r="L149" s="63">
        <f>IF($D177="","",COUNTIFS(WORKSHEET!P$3:P$1077,"YES*",WORKSHEET!$B$3:$B$1077,$C149,WORKSHEET!$D$3:$D$1077,$D177)/COUNTIFS(WORKSHEET!$B$3:$B$1077,$C149,WORKSHEET!$D$3:$D$1077,$D177))</f>
        <v>1</v>
      </c>
      <c r="M149" s="63"/>
      <c r="N149" s="63"/>
      <c r="O149" s="63"/>
      <c r="P149" s="63"/>
      <c r="Q149" s="63"/>
      <c r="R149" s="63"/>
    </row>
    <row r="150" spans="1:18" ht="14.25" hidden="1">
      <c r="A150" s="42">
        <f t="shared" si="29"/>
        <v>5</v>
      </c>
      <c r="B150" s="78" t="str">
        <f t="shared" si="25"/>
        <v>Arizona_5</v>
      </c>
      <c r="C150" s="41" t="str">
        <f t="shared" si="26"/>
        <v>Q4</v>
      </c>
      <c r="D150" s="41" t="str">
        <f>IF(A150="","",VLOOKUP($B150,KEY!$B$6:$D$74,3,FALSE))</f>
        <v>BMW North Scottsdale</v>
      </c>
      <c r="E150" s="53" t="str">
        <f>IFERROR(VLOOKUP($D150,KEY!$K$6:$M$55,3,FALSE),"")</f>
        <v/>
      </c>
      <c r="F150" s="67">
        <f t="shared" ref="F150:G150" si="32">IF($D150="","",F178+F206)</f>
        <v>8</v>
      </c>
      <c r="G150" s="67">
        <f t="shared" si="32"/>
        <v>8</v>
      </c>
      <c r="H150" s="63">
        <f t="shared" si="28"/>
        <v>1</v>
      </c>
      <c r="I150" s="63">
        <f>IF($D178="","",COUNTIFS(WORKSHEET!M$3:M$1077,"YES*",WORKSHEET!$B$3:$B$1077,$C150,WORKSHEET!$D$3:$D$1077,$D178)/COUNTIFS(WORKSHEET!$B$3:$B$1077,$C150,WORKSHEET!$D$3:$D$1077,$D178))</f>
        <v>1</v>
      </c>
      <c r="J150" s="63">
        <f>IF($D178="","",COUNTIFS(WORKSHEET!N$3:N$1077,"YES*",WORKSHEET!$B$3:$B$1077,$C150,WORKSHEET!$D$3:$D$1077,$D178)/COUNTIFS(WORKSHEET!$B$3:$B$1077,$C150,WORKSHEET!$D$3:$D$1077,$D178))</f>
        <v>1</v>
      </c>
      <c r="K150" s="63">
        <f>IF($D178="","",COUNTIFS(WORKSHEET!O$3:O$1077,"YES*",WORKSHEET!$B$3:$B$1077,$C150,WORKSHEET!$D$3:$D$1077,$D178)/COUNTIFS(WORKSHEET!$B$3:$B$1077,$C150,WORKSHEET!$D$3:$D$1077,$D178))</f>
        <v>1</v>
      </c>
      <c r="L150" s="63">
        <f>IF($D178="","",COUNTIFS(WORKSHEET!P$3:P$1077,"YES*",WORKSHEET!$B$3:$B$1077,$C150,WORKSHEET!$D$3:$D$1077,$D178)/COUNTIFS(WORKSHEET!$B$3:$B$1077,$C150,WORKSHEET!$D$3:$D$1077,$D178))</f>
        <v>1</v>
      </c>
      <c r="M150" s="63"/>
      <c r="N150" s="63"/>
      <c r="O150" s="63"/>
      <c r="P150" s="63"/>
      <c r="Q150" s="63"/>
      <c r="R150" s="63"/>
    </row>
    <row r="151" spans="1:18" ht="14.25" hidden="1">
      <c r="A151" s="42">
        <f t="shared" si="29"/>
        <v>6</v>
      </c>
      <c r="B151" s="78" t="str">
        <f t="shared" si="25"/>
        <v>Arizona_6</v>
      </c>
      <c r="C151" s="41" t="str">
        <f t="shared" si="26"/>
        <v>Q4</v>
      </c>
      <c r="D151" s="41" t="str">
        <f>IF(A151="","",VLOOKUP($B151,KEY!$B$6:$D$74,3,FALSE))</f>
        <v>Lamborghini North Scottsdale</v>
      </c>
      <c r="E151" s="53" t="str">
        <f>IFERROR(VLOOKUP($D151,KEY!$K$6:$M$55,3,FALSE),"")</f>
        <v/>
      </c>
      <c r="F151" s="67">
        <f t="shared" ref="F151:G151" si="33">IF($D151="","",F179+F207)</f>
        <v>8</v>
      </c>
      <c r="G151" s="67">
        <f t="shared" si="33"/>
        <v>6</v>
      </c>
      <c r="H151" s="63">
        <f t="shared" si="28"/>
        <v>0.75</v>
      </c>
      <c r="I151" s="63">
        <f>IF($D179="","",COUNTIFS(WORKSHEET!M$3:M$1077,"YES*",WORKSHEET!$B$3:$B$1077,$C151,WORKSHEET!$D$3:$D$1077,$D179)/COUNTIFS(WORKSHEET!$B$3:$B$1077,$C151,WORKSHEET!$D$3:$D$1077,$D179))</f>
        <v>1</v>
      </c>
      <c r="J151" s="63">
        <f>IF($D179="","",COUNTIFS(WORKSHEET!N$3:N$1077,"YES*",WORKSHEET!$B$3:$B$1077,$C151,WORKSHEET!$D$3:$D$1077,$D179)/COUNTIFS(WORKSHEET!$B$3:$B$1077,$C151,WORKSHEET!$D$3:$D$1077,$D179))</f>
        <v>1</v>
      </c>
      <c r="K151" s="63">
        <f>IF($D179="","",COUNTIFS(WORKSHEET!O$3:O$1077,"YES*",WORKSHEET!$B$3:$B$1077,$C151,WORKSHEET!$D$3:$D$1077,$D179)/COUNTIFS(WORKSHEET!$B$3:$B$1077,$C151,WORKSHEET!$D$3:$D$1077,$D179))</f>
        <v>0.5</v>
      </c>
      <c r="L151" s="63">
        <f>IF($D179="","",COUNTIFS(WORKSHEET!P$3:P$1077,"YES*",WORKSHEET!$B$3:$B$1077,$C151,WORKSHEET!$D$3:$D$1077,$D179)/COUNTIFS(WORKSHEET!$B$3:$B$1077,$C151,WORKSHEET!$D$3:$D$1077,$D179))</f>
        <v>0.5</v>
      </c>
      <c r="M151" s="63"/>
      <c r="N151" s="63"/>
      <c r="O151" s="63"/>
      <c r="P151" s="63"/>
      <c r="Q151" s="63"/>
      <c r="R151" s="63"/>
    </row>
    <row r="152" spans="1:18" ht="14.25" hidden="1">
      <c r="A152" s="42">
        <f t="shared" si="29"/>
        <v>7</v>
      </c>
      <c r="B152" s="78" t="str">
        <f t="shared" si="25"/>
        <v>Arizona_7</v>
      </c>
      <c r="C152" s="41" t="str">
        <f t="shared" si="26"/>
        <v>Q4</v>
      </c>
      <c r="D152" s="41" t="str">
        <f>IF(A152="","",VLOOKUP($B152,KEY!$B$6:$D$74,3,FALSE))</f>
        <v>Land Rover Chandler</v>
      </c>
      <c r="E152" s="53" t="str">
        <f>IFERROR(VLOOKUP($D152,KEY!$K$6:$M$55,3,FALSE),"")</f>
        <v/>
      </c>
      <c r="F152" s="67">
        <f t="shared" ref="F152:G152" si="34">IF($D152="","",F180+F208)</f>
        <v>8</v>
      </c>
      <c r="G152" s="67">
        <f t="shared" si="34"/>
        <v>8</v>
      </c>
      <c r="H152" s="63">
        <f t="shared" si="28"/>
        <v>1</v>
      </c>
      <c r="I152" s="63">
        <f>IF($D180="","",COUNTIFS(WORKSHEET!M$3:M$1077,"YES*",WORKSHEET!$B$3:$B$1077,$C152,WORKSHEET!$D$3:$D$1077,$D180)/COUNTIFS(WORKSHEET!$B$3:$B$1077,$C152,WORKSHEET!$D$3:$D$1077,$D180))</f>
        <v>1</v>
      </c>
      <c r="J152" s="63">
        <f>IF($D180="","",COUNTIFS(WORKSHEET!N$3:N$1077,"YES*",WORKSHEET!$B$3:$B$1077,$C152,WORKSHEET!$D$3:$D$1077,$D180)/COUNTIFS(WORKSHEET!$B$3:$B$1077,$C152,WORKSHEET!$D$3:$D$1077,$D180))</f>
        <v>1</v>
      </c>
      <c r="K152" s="63">
        <f>IF($D180="","",COUNTIFS(WORKSHEET!O$3:O$1077,"YES*",WORKSHEET!$B$3:$B$1077,$C152,WORKSHEET!$D$3:$D$1077,$D180)/COUNTIFS(WORKSHEET!$B$3:$B$1077,$C152,WORKSHEET!$D$3:$D$1077,$D180))</f>
        <v>1</v>
      </c>
      <c r="L152" s="63">
        <f>IF($D180="","",COUNTIFS(WORKSHEET!P$3:P$1077,"YES*",WORKSHEET!$B$3:$B$1077,$C152,WORKSHEET!$D$3:$D$1077,$D180)/COUNTIFS(WORKSHEET!$B$3:$B$1077,$C152,WORKSHEET!$D$3:$D$1077,$D180))</f>
        <v>1</v>
      </c>
      <c r="M152" s="63"/>
      <c r="N152" s="63"/>
      <c r="O152" s="63"/>
      <c r="P152" s="63"/>
      <c r="Q152" s="63"/>
      <c r="R152" s="63"/>
    </row>
    <row r="153" spans="1:18" ht="14.25" hidden="1">
      <c r="A153" s="42">
        <f t="shared" si="29"/>
        <v>8</v>
      </c>
      <c r="B153" s="78" t="str">
        <f t="shared" si="25"/>
        <v>Arizona_8</v>
      </c>
      <c r="C153" s="41" t="str">
        <f t="shared" si="26"/>
        <v>Q4</v>
      </c>
      <c r="D153" s="41" t="str">
        <f>IF(A153="","",VLOOKUP($B153,KEY!$B$6:$D$74,3,FALSE))</f>
        <v>Land Rover North Scottsdale</v>
      </c>
      <c r="E153" s="53" t="str">
        <f>IFERROR(VLOOKUP($D153,KEY!$K$6:$M$55,3,FALSE),"")</f>
        <v/>
      </c>
      <c r="F153" s="67">
        <f t="shared" ref="F153:G153" si="35">IF($D153="","",F181+F209)</f>
        <v>8</v>
      </c>
      <c r="G153" s="67">
        <f t="shared" si="35"/>
        <v>8</v>
      </c>
      <c r="H153" s="63">
        <f t="shared" si="28"/>
        <v>1</v>
      </c>
      <c r="I153" s="63">
        <f>IF($D181="","",COUNTIFS(WORKSHEET!M$3:M$1077,"YES*",WORKSHEET!$B$3:$B$1077,$C153,WORKSHEET!$D$3:$D$1077,$D181)/COUNTIFS(WORKSHEET!$B$3:$B$1077,$C153,WORKSHEET!$D$3:$D$1077,$D181))</f>
        <v>1</v>
      </c>
      <c r="J153" s="63">
        <f>IF($D181="","",COUNTIFS(WORKSHEET!N$3:N$1077,"YES*",WORKSHEET!$B$3:$B$1077,$C153,WORKSHEET!$D$3:$D$1077,$D181)/COUNTIFS(WORKSHEET!$B$3:$B$1077,$C153,WORKSHEET!$D$3:$D$1077,$D181))</f>
        <v>1</v>
      </c>
      <c r="K153" s="63">
        <f>IF($D181="","",COUNTIFS(WORKSHEET!O$3:O$1077,"YES*",WORKSHEET!$B$3:$B$1077,$C153,WORKSHEET!$D$3:$D$1077,$D181)/COUNTIFS(WORKSHEET!$B$3:$B$1077,$C153,WORKSHEET!$D$3:$D$1077,$D181))</f>
        <v>1</v>
      </c>
      <c r="L153" s="63">
        <f>IF($D181="","",COUNTIFS(WORKSHEET!P$3:P$1077,"YES*",WORKSHEET!$B$3:$B$1077,$C153,WORKSHEET!$D$3:$D$1077,$D181)/COUNTIFS(WORKSHEET!$B$3:$B$1077,$C153,WORKSHEET!$D$3:$D$1077,$D181))</f>
        <v>1</v>
      </c>
      <c r="M153" s="63"/>
      <c r="N153" s="63"/>
      <c r="O153" s="63"/>
      <c r="P153" s="63"/>
      <c r="Q153" s="63"/>
      <c r="R153" s="63"/>
    </row>
    <row r="154" spans="1:18" ht="14.25" hidden="1">
      <c r="A154" s="42">
        <f t="shared" si="29"/>
        <v>9</v>
      </c>
      <c r="B154" s="78" t="str">
        <f t="shared" si="25"/>
        <v>Arizona_9</v>
      </c>
      <c r="C154" s="41" t="str">
        <f t="shared" si="26"/>
        <v>Q4</v>
      </c>
      <c r="D154" s="41" t="str">
        <f>IF(A154="","",VLOOKUP($B154,KEY!$B$6:$D$74,3,FALSE))</f>
        <v>Lexus of Chandler</v>
      </c>
      <c r="E154" s="53" t="str">
        <f>IFERROR(VLOOKUP($D154,KEY!$K$6:$M$55,3,FALSE),"")</f>
        <v/>
      </c>
      <c r="F154" s="67">
        <f t="shared" ref="F154:G154" si="36">IF($D154="","",F182+F210)</f>
        <v>8</v>
      </c>
      <c r="G154" s="67">
        <f t="shared" si="36"/>
        <v>7</v>
      </c>
      <c r="H154" s="63">
        <f t="shared" si="28"/>
        <v>0.875</v>
      </c>
      <c r="I154" s="63">
        <f>IF($D182="","",COUNTIFS(WORKSHEET!M$3:M$1077,"YES*",WORKSHEET!$B$3:$B$1077,$C154,WORKSHEET!$D$3:$D$1077,$D182)/COUNTIFS(WORKSHEET!$B$3:$B$1077,$C154,WORKSHEET!$D$3:$D$1077,$D182))</f>
        <v>1</v>
      </c>
      <c r="J154" s="63">
        <f>IF($D182="","",COUNTIFS(WORKSHEET!N$3:N$1077,"YES*",WORKSHEET!$B$3:$B$1077,$C154,WORKSHEET!$D$3:$D$1077,$D182)/COUNTIFS(WORKSHEET!$B$3:$B$1077,$C154,WORKSHEET!$D$3:$D$1077,$D182))</f>
        <v>0.5</v>
      </c>
      <c r="K154" s="63">
        <f>IF($D182="","",COUNTIFS(WORKSHEET!O$3:O$1077,"YES*",WORKSHEET!$B$3:$B$1077,$C154,WORKSHEET!$D$3:$D$1077,$D182)/COUNTIFS(WORKSHEET!$B$3:$B$1077,$C154,WORKSHEET!$D$3:$D$1077,$D182))</f>
        <v>1</v>
      </c>
      <c r="L154" s="63">
        <f>IF($D182="","",COUNTIFS(WORKSHEET!P$3:P$1077,"YES*",WORKSHEET!$B$3:$B$1077,$C154,WORKSHEET!$D$3:$D$1077,$D182)/COUNTIFS(WORKSHEET!$B$3:$B$1077,$C154,WORKSHEET!$D$3:$D$1077,$D182))</f>
        <v>1</v>
      </c>
      <c r="M154" s="63"/>
      <c r="N154" s="63"/>
      <c r="O154" s="63"/>
      <c r="P154" s="63"/>
      <c r="Q154" s="63"/>
      <c r="R154" s="63"/>
    </row>
    <row r="155" spans="1:18" ht="14.25" hidden="1">
      <c r="A155" s="42">
        <f t="shared" si="29"/>
        <v>10</v>
      </c>
      <c r="B155" s="78" t="str">
        <f t="shared" si="25"/>
        <v>Arizona_10</v>
      </c>
      <c r="C155" s="41" t="str">
        <f t="shared" si="26"/>
        <v>Q4</v>
      </c>
      <c r="D155" s="41" t="str">
        <f>IF(A155="","",VLOOKUP($B155,KEY!$B$6:$D$74,3,FALSE))</f>
        <v>Mercedes-Benz of Chandler</v>
      </c>
      <c r="E155" s="53" t="str">
        <f>IFERROR(VLOOKUP($D155,KEY!$K$6:$M$55,3,FALSE),"")</f>
        <v/>
      </c>
      <c r="F155" s="67">
        <f t="shared" ref="F155:G155" si="37">IF($D155="","",F183+F211)</f>
        <v>8</v>
      </c>
      <c r="G155" s="67">
        <f t="shared" si="37"/>
        <v>8</v>
      </c>
      <c r="H155" s="63">
        <f t="shared" si="28"/>
        <v>1</v>
      </c>
      <c r="I155" s="63">
        <f>IF($D183="","",COUNTIFS(WORKSHEET!M$3:M$1077,"YES*",WORKSHEET!$B$3:$B$1077,$C155,WORKSHEET!$D$3:$D$1077,$D183)/COUNTIFS(WORKSHEET!$B$3:$B$1077,$C155,WORKSHEET!$D$3:$D$1077,$D183))</f>
        <v>1</v>
      </c>
      <c r="J155" s="63">
        <f>IF($D183="","",COUNTIFS(WORKSHEET!N$3:N$1077,"YES*",WORKSHEET!$B$3:$B$1077,$C155,WORKSHEET!$D$3:$D$1077,$D183)/COUNTIFS(WORKSHEET!$B$3:$B$1077,$C155,WORKSHEET!$D$3:$D$1077,$D183))</f>
        <v>1</v>
      </c>
      <c r="K155" s="63">
        <f>IF($D183="","",COUNTIFS(WORKSHEET!O$3:O$1077,"YES*",WORKSHEET!$B$3:$B$1077,$C155,WORKSHEET!$D$3:$D$1077,$D183)/COUNTIFS(WORKSHEET!$B$3:$B$1077,$C155,WORKSHEET!$D$3:$D$1077,$D183))</f>
        <v>1</v>
      </c>
      <c r="L155" s="63">
        <f>IF($D183="","",COUNTIFS(WORKSHEET!P$3:P$1077,"YES*",WORKSHEET!$B$3:$B$1077,$C155,WORKSHEET!$D$3:$D$1077,$D183)/COUNTIFS(WORKSHEET!$B$3:$B$1077,$C155,WORKSHEET!$D$3:$D$1077,$D183))</f>
        <v>1</v>
      </c>
      <c r="M155" s="63"/>
      <c r="N155" s="63"/>
      <c r="O155" s="63"/>
      <c r="P155" s="63"/>
      <c r="Q155" s="63"/>
      <c r="R155" s="63"/>
    </row>
    <row r="156" spans="1:18" ht="14.25" hidden="1">
      <c r="A156" s="42">
        <f t="shared" si="29"/>
        <v>11</v>
      </c>
      <c r="B156" s="78" t="str">
        <f t="shared" si="25"/>
        <v>Arizona_11</v>
      </c>
      <c r="C156" s="41" t="str">
        <f t="shared" si="26"/>
        <v>Q4</v>
      </c>
      <c r="D156" s="41" t="str">
        <f>IF(A156="","",VLOOKUP($B156,KEY!$B$6:$D$74,3,FALSE))</f>
        <v>Mercedes-Benz of North Scottsdale</v>
      </c>
      <c r="E156" s="53" t="str">
        <f>IFERROR(VLOOKUP($D156,KEY!$K$6:$M$55,3,FALSE),"")</f>
        <v/>
      </c>
      <c r="F156" s="67">
        <f t="shared" ref="F156:G156" si="38">IF($D156="","",F184+F212)</f>
        <v>8</v>
      </c>
      <c r="G156" s="67">
        <f t="shared" si="38"/>
        <v>8</v>
      </c>
      <c r="H156" s="63">
        <f t="shared" si="28"/>
        <v>1</v>
      </c>
      <c r="I156" s="63">
        <f>IF($D184="","",COUNTIFS(WORKSHEET!M$3:M$1077,"YES*",WORKSHEET!$B$3:$B$1077,$C156,WORKSHEET!$D$3:$D$1077,$D184)/COUNTIFS(WORKSHEET!$B$3:$B$1077,$C156,WORKSHEET!$D$3:$D$1077,$D184))</f>
        <v>1</v>
      </c>
      <c r="J156" s="63">
        <f>IF($D184="","",COUNTIFS(WORKSHEET!N$3:N$1077,"YES*",WORKSHEET!$B$3:$B$1077,$C156,WORKSHEET!$D$3:$D$1077,$D184)/COUNTIFS(WORKSHEET!$B$3:$B$1077,$C156,WORKSHEET!$D$3:$D$1077,$D184))</f>
        <v>1</v>
      </c>
      <c r="K156" s="63">
        <f>IF($D184="","",COUNTIFS(WORKSHEET!O$3:O$1077,"YES*",WORKSHEET!$B$3:$B$1077,$C156,WORKSHEET!$D$3:$D$1077,$D184)/COUNTIFS(WORKSHEET!$B$3:$B$1077,$C156,WORKSHEET!$D$3:$D$1077,$D184))</f>
        <v>1</v>
      </c>
      <c r="L156" s="63">
        <f>IF($D184="","",COUNTIFS(WORKSHEET!P$3:P$1077,"YES*",WORKSHEET!$B$3:$B$1077,$C156,WORKSHEET!$D$3:$D$1077,$D184)/COUNTIFS(WORKSHEET!$B$3:$B$1077,$C156,WORKSHEET!$D$3:$D$1077,$D184))</f>
        <v>1</v>
      </c>
      <c r="M156" s="63"/>
      <c r="N156" s="63"/>
      <c r="O156" s="63"/>
      <c r="P156" s="63"/>
      <c r="Q156" s="63"/>
      <c r="R156" s="63"/>
    </row>
    <row r="157" spans="1:18" ht="14.25" hidden="1">
      <c r="A157" s="42">
        <f t="shared" si="29"/>
        <v>12</v>
      </c>
      <c r="B157" s="78" t="str">
        <f t="shared" si="25"/>
        <v>Arizona_12</v>
      </c>
      <c r="C157" s="41" t="str">
        <f t="shared" si="26"/>
        <v>Q4</v>
      </c>
      <c r="D157" s="41" t="str">
        <f>IF(A157="","",VLOOKUP($B157,KEY!$B$6:$D$74,3,FALSE))</f>
        <v>MINI North Scottsdale</v>
      </c>
      <c r="E157" s="53" t="str">
        <f>IFERROR(VLOOKUP($D157,KEY!$K$6:$M$55,3,FALSE),"")</f>
        <v/>
      </c>
      <c r="F157" s="67">
        <f t="shared" ref="F157:G157" si="39">IF($D157="","",F185+F213)</f>
        <v>8</v>
      </c>
      <c r="G157" s="67">
        <f t="shared" si="39"/>
        <v>8</v>
      </c>
      <c r="H157" s="63">
        <f t="shared" si="28"/>
        <v>1</v>
      </c>
      <c r="I157" s="63">
        <f>IF($D185="","",COUNTIFS(WORKSHEET!M$3:M$1077,"YES*",WORKSHEET!$B$3:$B$1077,$C157,WORKSHEET!$D$3:$D$1077,$D185)/COUNTIFS(WORKSHEET!$B$3:$B$1077,$C157,WORKSHEET!$D$3:$D$1077,$D185))</f>
        <v>1</v>
      </c>
      <c r="J157" s="63">
        <f>IF($D185="","",COUNTIFS(WORKSHEET!N$3:N$1077,"YES*",WORKSHEET!$B$3:$B$1077,$C157,WORKSHEET!$D$3:$D$1077,$D185)/COUNTIFS(WORKSHEET!$B$3:$B$1077,$C157,WORKSHEET!$D$3:$D$1077,$D185))</f>
        <v>1</v>
      </c>
      <c r="K157" s="63">
        <f>IF($D185="","",COUNTIFS(WORKSHEET!O$3:O$1077,"YES*",WORKSHEET!$B$3:$B$1077,$C157,WORKSHEET!$D$3:$D$1077,$D185)/COUNTIFS(WORKSHEET!$B$3:$B$1077,$C157,WORKSHEET!$D$3:$D$1077,$D185))</f>
        <v>1</v>
      </c>
      <c r="L157" s="63">
        <f>IF($D185="","",COUNTIFS(WORKSHEET!P$3:P$1077,"YES*",WORKSHEET!$B$3:$B$1077,$C157,WORKSHEET!$D$3:$D$1077,$D185)/COUNTIFS(WORKSHEET!$B$3:$B$1077,$C157,WORKSHEET!$D$3:$D$1077,$D185))</f>
        <v>1</v>
      </c>
      <c r="M157" s="63"/>
      <c r="N157" s="63"/>
      <c r="O157" s="63"/>
      <c r="P157" s="63"/>
      <c r="Q157" s="63"/>
      <c r="R157" s="63"/>
    </row>
    <row r="158" spans="1:18" ht="14.25" hidden="1">
      <c r="A158" s="42">
        <f t="shared" si="29"/>
        <v>13</v>
      </c>
      <c r="B158" s="78" t="str">
        <f t="shared" si="25"/>
        <v>Arizona_13</v>
      </c>
      <c r="C158" s="41" t="str">
        <f t="shared" si="26"/>
        <v>Q4</v>
      </c>
      <c r="D158" s="41" t="str">
        <f>IF(A158="","",VLOOKUP($B158,KEY!$B$6:$D$74,3,FALSE))</f>
        <v>MINI of Tempe</v>
      </c>
      <c r="E158" s="53" t="str">
        <f>IFERROR(VLOOKUP($D158,KEY!$K$6:$M$55,3,FALSE),"")</f>
        <v/>
      </c>
      <c r="F158" s="67">
        <f t="shared" ref="F158:G158" si="40">IF($D158="","",F186+F214)</f>
        <v>8</v>
      </c>
      <c r="G158" s="67">
        <f t="shared" si="40"/>
        <v>8</v>
      </c>
      <c r="H158" s="63">
        <f t="shared" si="28"/>
        <v>1</v>
      </c>
      <c r="I158" s="63">
        <f>IF($D186="","",COUNTIFS(WORKSHEET!M$3:M$1077,"YES*",WORKSHEET!$B$3:$B$1077,$C158,WORKSHEET!$D$3:$D$1077,$D186)/COUNTIFS(WORKSHEET!$B$3:$B$1077,$C158,WORKSHEET!$D$3:$D$1077,$D186))</f>
        <v>1</v>
      </c>
      <c r="J158" s="63">
        <f>IF($D186="","",COUNTIFS(WORKSHEET!N$3:N$1077,"YES*",WORKSHEET!$B$3:$B$1077,$C158,WORKSHEET!$D$3:$D$1077,$D186)/COUNTIFS(WORKSHEET!$B$3:$B$1077,$C158,WORKSHEET!$D$3:$D$1077,$D186))</f>
        <v>1</v>
      </c>
      <c r="K158" s="63">
        <f>IF($D186="","",COUNTIFS(WORKSHEET!O$3:O$1077,"YES*",WORKSHEET!$B$3:$B$1077,$C158,WORKSHEET!$D$3:$D$1077,$D186)/COUNTIFS(WORKSHEET!$B$3:$B$1077,$C158,WORKSHEET!$D$3:$D$1077,$D186))</f>
        <v>1</v>
      </c>
      <c r="L158" s="63">
        <f>IF($D186="","",COUNTIFS(WORKSHEET!P$3:P$1077,"YES*",WORKSHEET!$B$3:$B$1077,$C158,WORKSHEET!$D$3:$D$1077,$D186)/COUNTIFS(WORKSHEET!$B$3:$B$1077,$C158,WORKSHEET!$D$3:$D$1077,$D186))</f>
        <v>1</v>
      </c>
      <c r="M158" s="63"/>
      <c r="N158" s="63"/>
      <c r="O158" s="63"/>
      <c r="P158" s="63"/>
      <c r="Q158" s="63"/>
      <c r="R158" s="63"/>
    </row>
    <row r="159" spans="1:18" ht="14.25" hidden="1">
      <c r="A159" s="42">
        <f t="shared" si="29"/>
        <v>14</v>
      </c>
      <c r="B159" s="78" t="str">
        <f t="shared" si="25"/>
        <v>Arizona_14</v>
      </c>
      <c r="C159" s="41" t="str">
        <f t="shared" si="26"/>
        <v>Q4</v>
      </c>
      <c r="D159" s="41" t="str">
        <f>IF(A159="","",VLOOKUP($B159,KEY!$B$6:$D$74,3,FALSE))</f>
        <v>Porsche North Scottsdale</v>
      </c>
      <c r="E159" s="53" t="str">
        <f>IFERROR(VLOOKUP($D159,KEY!$K$6:$M$55,3,FALSE),"")</f>
        <v/>
      </c>
      <c r="F159" s="67">
        <f t="shared" ref="F159:G159" si="41">IF($D159="","",F187+F215)</f>
        <v>8</v>
      </c>
      <c r="G159" s="67">
        <f t="shared" si="41"/>
        <v>7</v>
      </c>
      <c r="H159" s="63">
        <f t="shared" si="28"/>
        <v>0.875</v>
      </c>
      <c r="I159" s="63">
        <f>IF($D187="","",COUNTIFS(WORKSHEET!M$3:M$1077,"YES*",WORKSHEET!$B$3:$B$1077,$C159,WORKSHEET!$D$3:$D$1077,$D187)/COUNTIFS(WORKSHEET!$B$3:$B$1077,$C159,WORKSHEET!$D$3:$D$1077,$D187))</f>
        <v>1</v>
      </c>
      <c r="J159" s="63">
        <f>IF($D187="","",COUNTIFS(WORKSHEET!N$3:N$1077,"YES*",WORKSHEET!$B$3:$B$1077,$C159,WORKSHEET!$D$3:$D$1077,$D187)/COUNTIFS(WORKSHEET!$B$3:$B$1077,$C159,WORKSHEET!$D$3:$D$1077,$D187))</f>
        <v>0.5</v>
      </c>
      <c r="K159" s="63">
        <f>IF($D187="","",COUNTIFS(WORKSHEET!O$3:O$1077,"YES*",WORKSHEET!$B$3:$B$1077,$C159,WORKSHEET!$D$3:$D$1077,$D187)/COUNTIFS(WORKSHEET!$B$3:$B$1077,$C159,WORKSHEET!$D$3:$D$1077,$D187))</f>
        <v>1</v>
      </c>
      <c r="L159" s="63">
        <f>IF($D187="","",COUNTIFS(WORKSHEET!P$3:P$1077,"YES*",WORKSHEET!$B$3:$B$1077,$C159,WORKSHEET!$D$3:$D$1077,$D187)/COUNTIFS(WORKSHEET!$B$3:$B$1077,$C159,WORKSHEET!$D$3:$D$1077,$D187))</f>
        <v>1</v>
      </c>
      <c r="M159" s="63"/>
      <c r="N159" s="63"/>
      <c r="O159" s="63"/>
      <c r="P159" s="63"/>
      <c r="Q159" s="63"/>
      <c r="R159" s="63"/>
    </row>
    <row r="160" spans="1:18" ht="14.25" hidden="1">
      <c r="A160" s="42">
        <f t="shared" si="29"/>
        <v>15</v>
      </c>
      <c r="B160" s="78" t="str">
        <f t="shared" si="25"/>
        <v>Arizona_15</v>
      </c>
      <c r="C160" s="41" t="str">
        <f t="shared" si="26"/>
        <v>Q4</v>
      </c>
      <c r="D160" s="41" t="str">
        <f>IF(A160="","",VLOOKUP($B160,KEY!$B$6:$D$74,3,FALSE))</f>
        <v>Scottsdale Ferrari Maserati</v>
      </c>
      <c r="E160" s="53" t="str">
        <f>IFERROR(VLOOKUP($D160,KEY!$K$6:$M$55,3,FALSE),"")</f>
        <v/>
      </c>
      <c r="F160" s="67">
        <f t="shared" ref="F160:G160" si="42">IF($D160="","",F188+F216)</f>
        <v>8</v>
      </c>
      <c r="G160" s="67">
        <f t="shared" si="42"/>
        <v>1</v>
      </c>
      <c r="H160" s="63">
        <f t="shared" si="28"/>
        <v>0.125</v>
      </c>
      <c r="I160" s="63">
        <f>IF($D188="","",COUNTIFS(WORKSHEET!M$3:M$1077,"YES*",WORKSHEET!$B$3:$B$1077,$C160,WORKSHEET!$D$3:$D$1077,$D188)/COUNTIFS(WORKSHEET!$B$3:$B$1077,$C160,WORKSHEET!$D$3:$D$1077,$D188))</f>
        <v>0</v>
      </c>
      <c r="J160" s="63">
        <f>IF($D188="","",COUNTIFS(WORKSHEET!N$3:N$1077,"YES*",WORKSHEET!$B$3:$B$1077,$C160,WORKSHEET!$D$3:$D$1077,$D188)/COUNTIFS(WORKSHEET!$B$3:$B$1077,$C160,WORKSHEET!$D$3:$D$1077,$D188))</f>
        <v>0</v>
      </c>
      <c r="K160" s="63">
        <f>IF($D188="","",COUNTIFS(WORKSHEET!O$3:O$1077,"YES*",WORKSHEET!$B$3:$B$1077,$C160,WORKSHEET!$D$3:$D$1077,$D188)/COUNTIFS(WORKSHEET!$B$3:$B$1077,$C160,WORKSHEET!$D$3:$D$1077,$D188))</f>
        <v>0.5</v>
      </c>
      <c r="L160" s="63">
        <f>IF($D188="","",COUNTIFS(WORKSHEET!P$3:P$1077,"YES*",WORKSHEET!$B$3:$B$1077,$C160,WORKSHEET!$D$3:$D$1077,$D188)/COUNTIFS(WORKSHEET!$B$3:$B$1077,$C160,WORKSHEET!$D$3:$D$1077,$D188))</f>
        <v>0</v>
      </c>
      <c r="M160" s="63"/>
      <c r="N160" s="63"/>
      <c r="O160" s="63"/>
      <c r="P160" s="63"/>
      <c r="Q160" s="63"/>
      <c r="R160" s="63"/>
    </row>
    <row r="161" spans="1:18" ht="14.25" hidden="1">
      <c r="A161" s="42">
        <f t="shared" si="29"/>
        <v>16</v>
      </c>
      <c r="B161" s="78" t="str">
        <f t="shared" si="25"/>
        <v>Arizona_16</v>
      </c>
      <c r="C161" s="41" t="str">
        <f t="shared" si="26"/>
        <v>Q4</v>
      </c>
      <c r="D161" s="41" t="str">
        <f>IF(A161="","",VLOOKUP($B161,KEY!$B$6:$D$74,3,FALSE))</f>
        <v>Tempe Honda</v>
      </c>
      <c r="E161" s="53" t="str">
        <f>IFERROR(VLOOKUP($D161,KEY!$K$6:$M$55,3,FALSE),"")</f>
        <v/>
      </c>
      <c r="F161" s="67">
        <f t="shared" ref="F161:G161" si="43">IF($D161="","",F189+F217)</f>
        <v>8</v>
      </c>
      <c r="G161" s="67">
        <f t="shared" si="43"/>
        <v>8</v>
      </c>
      <c r="H161" s="63">
        <f t="shared" si="28"/>
        <v>1</v>
      </c>
      <c r="I161" s="63">
        <f>IF($D189="","",COUNTIFS(WORKSHEET!M$3:M$1077,"YES*",WORKSHEET!$B$3:$B$1077,$C161,WORKSHEET!$D$3:$D$1077,$D189)/COUNTIFS(WORKSHEET!$B$3:$B$1077,$C161,WORKSHEET!$D$3:$D$1077,$D189))</f>
        <v>1</v>
      </c>
      <c r="J161" s="63">
        <f>IF($D189="","",COUNTIFS(WORKSHEET!N$3:N$1077,"YES*",WORKSHEET!$B$3:$B$1077,$C161,WORKSHEET!$D$3:$D$1077,$D189)/COUNTIFS(WORKSHEET!$B$3:$B$1077,$C161,WORKSHEET!$D$3:$D$1077,$D189))</f>
        <v>1</v>
      </c>
      <c r="K161" s="63">
        <f>IF($D189="","",COUNTIFS(WORKSHEET!O$3:O$1077,"YES*",WORKSHEET!$B$3:$B$1077,$C161,WORKSHEET!$D$3:$D$1077,$D189)/COUNTIFS(WORKSHEET!$B$3:$B$1077,$C161,WORKSHEET!$D$3:$D$1077,$D189))</f>
        <v>1</v>
      </c>
      <c r="L161" s="63">
        <f>IF($D189="","",COUNTIFS(WORKSHEET!P$3:P$1077,"YES*",WORKSHEET!$B$3:$B$1077,$C161,WORKSHEET!$D$3:$D$1077,$D189)/COUNTIFS(WORKSHEET!$B$3:$B$1077,$C161,WORKSHEET!$D$3:$D$1077,$D189))</f>
        <v>1</v>
      </c>
      <c r="M161" s="63"/>
      <c r="N161" s="63"/>
      <c r="O161" s="63"/>
      <c r="P161" s="63"/>
      <c r="Q161" s="63"/>
      <c r="R161" s="63"/>
    </row>
    <row r="162" spans="1:18" ht="14.25" hidden="1">
      <c r="A162" s="42">
        <f t="shared" si="29"/>
        <v>17</v>
      </c>
      <c r="B162" s="78" t="str">
        <f t="shared" si="25"/>
        <v>Arizona_17</v>
      </c>
      <c r="C162" s="41" t="str">
        <f t="shared" si="26"/>
        <v>Q4</v>
      </c>
      <c r="D162" s="41" t="str">
        <f>IF(A162="","",VLOOKUP($B162,KEY!$B$6:$D$74,3,FALSE))</f>
        <v>Toyota of Surprise</v>
      </c>
      <c r="E162" s="53" t="str">
        <f>IFERROR(VLOOKUP($D162,KEY!$K$6:$M$55,3,FALSE),"")</f>
        <v/>
      </c>
      <c r="F162" s="67">
        <f t="shared" ref="F162:G162" si="44">IF($D162="","",F190+F218)</f>
        <v>8</v>
      </c>
      <c r="G162" s="67">
        <f t="shared" si="44"/>
        <v>7</v>
      </c>
      <c r="H162" s="63">
        <f t="shared" si="28"/>
        <v>0.875</v>
      </c>
      <c r="I162" s="63">
        <f>IF($D190="","",COUNTIFS(WORKSHEET!M$3:M$1077,"YES*",WORKSHEET!$B$3:$B$1077,$C162,WORKSHEET!$D$3:$D$1077,$D190)/COUNTIFS(WORKSHEET!$B$3:$B$1077,$C162,WORKSHEET!$D$3:$D$1077,$D190))</f>
        <v>1</v>
      </c>
      <c r="J162" s="63">
        <f>IF($D190="","",COUNTIFS(WORKSHEET!N$3:N$1077,"YES*",WORKSHEET!$B$3:$B$1077,$C162,WORKSHEET!$D$3:$D$1077,$D190)/COUNTIFS(WORKSHEET!$B$3:$B$1077,$C162,WORKSHEET!$D$3:$D$1077,$D190))</f>
        <v>0.5</v>
      </c>
      <c r="K162" s="63">
        <f>IF($D190="","",COUNTIFS(WORKSHEET!O$3:O$1077,"YES*",WORKSHEET!$B$3:$B$1077,$C162,WORKSHEET!$D$3:$D$1077,$D190)/COUNTIFS(WORKSHEET!$B$3:$B$1077,$C162,WORKSHEET!$D$3:$D$1077,$D190))</f>
        <v>1</v>
      </c>
      <c r="L162" s="63">
        <f>IF($D190="","",COUNTIFS(WORKSHEET!P$3:P$1077,"YES*",WORKSHEET!$B$3:$B$1077,$C162,WORKSHEET!$D$3:$D$1077,$D190)/COUNTIFS(WORKSHEET!$B$3:$B$1077,$C162,WORKSHEET!$D$3:$D$1077,$D190))</f>
        <v>1</v>
      </c>
      <c r="M162" s="63"/>
      <c r="N162" s="63"/>
      <c r="O162" s="63"/>
      <c r="P162" s="63"/>
      <c r="Q162" s="63"/>
      <c r="R162" s="63"/>
    </row>
    <row r="163" spans="1:18" ht="14.25" hidden="1">
      <c r="A163" s="42">
        <f t="shared" si="29"/>
        <v>18</v>
      </c>
      <c r="B163" s="78" t="str">
        <f t="shared" si="25"/>
        <v>Arizona_18</v>
      </c>
      <c r="C163" s="41" t="str">
        <f t="shared" si="26"/>
        <v>Q4</v>
      </c>
      <c r="D163" s="41" t="str">
        <f>IF(A163="","",VLOOKUP($B163,KEY!$B$6:$D$74,3,FALSE))</f>
        <v>Volkswagen North Scottsdale</v>
      </c>
      <c r="E163" s="53" t="str">
        <f>IFERROR(VLOOKUP($D163,KEY!$K$6:$M$55,3,FALSE),"")</f>
        <v/>
      </c>
      <c r="F163" s="67">
        <f t="shared" ref="F163:G163" si="45">IF($D163="","",F191+F219)</f>
        <v>8</v>
      </c>
      <c r="G163" s="67">
        <f t="shared" si="45"/>
        <v>8</v>
      </c>
      <c r="H163" s="63">
        <f t="shared" si="28"/>
        <v>1</v>
      </c>
      <c r="I163" s="63">
        <f>IF($D191="","",COUNTIFS(WORKSHEET!M$3:M$1077,"YES*",WORKSHEET!$B$3:$B$1077,$C163,WORKSHEET!$D$3:$D$1077,$D191)/COUNTIFS(WORKSHEET!$B$3:$B$1077,$C163,WORKSHEET!$D$3:$D$1077,$D191))</f>
        <v>1</v>
      </c>
      <c r="J163" s="63">
        <f>IF($D191="","",COUNTIFS(WORKSHEET!N$3:N$1077,"YES*",WORKSHEET!$B$3:$B$1077,$C163,WORKSHEET!$D$3:$D$1077,$D191)/COUNTIFS(WORKSHEET!$B$3:$B$1077,$C163,WORKSHEET!$D$3:$D$1077,$D191))</f>
        <v>1</v>
      </c>
      <c r="K163" s="63">
        <f>IF($D191="","",COUNTIFS(WORKSHEET!O$3:O$1077,"YES*",WORKSHEET!$B$3:$B$1077,$C163,WORKSHEET!$D$3:$D$1077,$D191)/COUNTIFS(WORKSHEET!$B$3:$B$1077,$C163,WORKSHEET!$D$3:$D$1077,$D191))</f>
        <v>1</v>
      </c>
      <c r="L163" s="63">
        <f>IF($D191="","",COUNTIFS(WORKSHEET!P$3:P$1077,"YES*",WORKSHEET!$B$3:$B$1077,$C163,WORKSHEET!$D$3:$D$1077,$D191)/COUNTIFS(WORKSHEET!$B$3:$B$1077,$C163,WORKSHEET!$D$3:$D$1077,$D191))</f>
        <v>1</v>
      </c>
      <c r="M163" s="63"/>
      <c r="N163" s="63"/>
      <c r="O163" s="63"/>
      <c r="P163" s="63"/>
      <c r="Q163" s="63"/>
      <c r="R163" s="63"/>
    </row>
    <row r="164" spans="1:18" ht="14.25" hidden="1">
      <c r="A164" s="42" t="str">
        <f t="shared" si="29"/>
        <v/>
      </c>
      <c r="B164" s="78" t="str">
        <f t="shared" si="25"/>
        <v/>
      </c>
      <c r="C164" s="41" t="str">
        <f t="shared" si="26"/>
        <v>Q4</v>
      </c>
      <c r="D164" s="41" t="str">
        <f>IF(A164="","",VLOOKUP($B164,KEY!$B$6:$D$74,3,FALSE))</f>
        <v/>
      </c>
      <c r="E164" s="53" t="str">
        <f>IFERROR(VLOOKUP($D164,KEY!$K$6:$M$55,3,FALSE),"")</f>
        <v/>
      </c>
      <c r="F164" s="67" t="str">
        <f t="shared" ref="F164:G164" si="46">IF($D164="","",F192+F220)</f>
        <v/>
      </c>
      <c r="G164" s="67" t="str">
        <f t="shared" si="46"/>
        <v/>
      </c>
      <c r="H164" s="63" t="str">
        <f t="shared" si="28"/>
        <v/>
      </c>
      <c r="I164" s="63" t="str">
        <f>IF($D192="","",COUNTIFS(WORKSHEET!M$3:M$1077,"YES*",WORKSHEET!$B$3:$B$1077,$C164,WORKSHEET!$D$3:$D$1077,$D192)/COUNTIFS(WORKSHEET!$B$3:$B$1077,$C164,WORKSHEET!$D$3:$D$1077,$D192))</f>
        <v/>
      </c>
      <c r="J164" s="63" t="str">
        <f>IF($D192="","",COUNTIFS(WORKSHEET!N$3:N$1077,"YES*",WORKSHEET!$B$3:$B$1077,$C164,WORKSHEET!$D$3:$D$1077,$D192)/COUNTIFS(WORKSHEET!$B$3:$B$1077,$C164,WORKSHEET!$D$3:$D$1077,$D192))</f>
        <v/>
      </c>
      <c r="K164" s="63" t="str">
        <f>IF($D192="","",COUNTIFS(WORKSHEET!O$3:O$1077,"YES*",WORKSHEET!$B$3:$B$1077,$C164,WORKSHEET!$D$3:$D$1077,$D192)/COUNTIFS(WORKSHEET!$B$3:$B$1077,$C164,WORKSHEET!$D$3:$D$1077,$D192))</f>
        <v/>
      </c>
      <c r="L164" s="63" t="str">
        <f>IF($D192="","",COUNTIFS(WORKSHEET!P$3:P$1077,"YES*",WORKSHEET!$B$3:$B$1077,$C164,WORKSHEET!$D$3:$D$1077,$D192)/COUNTIFS(WORKSHEET!$B$3:$B$1077,$C164,WORKSHEET!$D$3:$D$1077,$D192))</f>
        <v/>
      </c>
      <c r="M164" s="63"/>
      <c r="N164" s="63"/>
      <c r="O164" s="63"/>
      <c r="P164" s="63"/>
      <c r="Q164" s="63"/>
      <c r="R164" s="63"/>
    </row>
    <row r="165" spans="1:18" ht="14.25" hidden="1">
      <c r="A165" s="42" t="str">
        <f t="shared" si="29"/>
        <v/>
      </c>
      <c r="B165" s="78" t="str">
        <f t="shared" si="25"/>
        <v/>
      </c>
      <c r="C165" s="41" t="str">
        <f t="shared" si="26"/>
        <v>Q4</v>
      </c>
      <c r="D165" s="41" t="str">
        <f>IF(A165="","",VLOOKUP($B165,KEY!$B$6:$D$74,3,FALSE))</f>
        <v/>
      </c>
      <c r="E165" s="53" t="str">
        <f>IFERROR(VLOOKUP($D165,KEY!$K$6:$M$55,3,FALSE),"")</f>
        <v/>
      </c>
      <c r="F165" s="67" t="str">
        <f t="shared" ref="F165:G165" si="47">IF($D165="","",F193+F221)</f>
        <v/>
      </c>
      <c r="G165" s="67" t="str">
        <f t="shared" si="47"/>
        <v/>
      </c>
      <c r="H165" s="63" t="str">
        <f t="shared" si="28"/>
        <v/>
      </c>
      <c r="I165" s="63" t="str">
        <f>IF($D193="","",COUNTIFS(WORKSHEET!M$3:M$1077,"YES*",WORKSHEET!$B$3:$B$1077,$C165,WORKSHEET!$D$3:$D$1077,$D193)/COUNTIFS(WORKSHEET!$B$3:$B$1077,$C165,WORKSHEET!$D$3:$D$1077,$D193))</f>
        <v/>
      </c>
      <c r="J165" s="63" t="str">
        <f>IF($D193="","",COUNTIFS(WORKSHEET!N$3:N$1077,"YES*",WORKSHEET!$B$3:$B$1077,$C165,WORKSHEET!$D$3:$D$1077,$D193)/COUNTIFS(WORKSHEET!$B$3:$B$1077,$C165,WORKSHEET!$D$3:$D$1077,$D193))</f>
        <v/>
      </c>
      <c r="K165" s="63" t="str">
        <f>IF($D193="","",COUNTIFS(WORKSHEET!O$3:O$1077,"YES*",WORKSHEET!$B$3:$B$1077,$C165,WORKSHEET!$D$3:$D$1077,$D193)/COUNTIFS(WORKSHEET!$B$3:$B$1077,$C165,WORKSHEET!$D$3:$D$1077,$D193))</f>
        <v/>
      </c>
      <c r="L165" s="63" t="str">
        <f>IF($D193="","",COUNTIFS(WORKSHEET!P$3:P$1077,"YES*",WORKSHEET!$B$3:$B$1077,$C165,WORKSHEET!$D$3:$D$1077,$D193)/COUNTIFS(WORKSHEET!$B$3:$B$1077,$C165,WORKSHEET!$D$3:$D$1077,$D193))</f>
        <v/>
      </c>
      <c r="M165" s="63"/>
      <c r="N165" s="63"/>
      <c r="O165" s="63"/>
      <c r="P165" s="63"/>
      <c r="Q165" s="63"/>
      <c r="R165" s="63"/>
    </row>
    <row r="166" spans="1:18" ht="14.25" hidden="1">
      <c r="A166" s="42" t="str">
        <f t="shared" si="29"/>
        <v/>
      </c>
      <c r="B166" s="78" t="str">
        <f t="shared" si="25"/>
        <v/>
      </c>
      <c r="C166" s="41" t="str">
        <f t="shared" si="26"/>
        <v>Q4</v>
      </c>
      <c r="D166" s="41" t="str">
        <f>IF(A166="","",VLOOKUP($B166,KEY!$B$6:$D$74,3,FALSE))</f>
        <v/>
      </c>
      <c r="E166" s="53" t="str">
        <f>IFERROR(VLOOKUP($D166,KEY!$K$6:$M$55,3,FALSE),"")</f>
        <v/>
      </c>
      <c r="F166" s="67" t="str">
        <f t="shared" ref="F166:G166" si="48">IF($D166="","",F194+F222)</f>
        <v/>
      </c>
      <c r="G166" s="67" t="str">
        <f t="shared" si="48"/>
        <v/>
      </c>
      <c r="H166" s="63" t="str">
        <f t="shared" si="28"/>
        <v/>
      </c>
      <c r="I166" s="63" t="str">
        <f>IF($D194="","",COUNTIFS(WORKSHEET!M$3:M$1077,"YES*",WORKSHEET!$B$3:$B$1077,$C166,WORKSHEET!$D$3:$D$1077,$D194)/COUNTIFS(WORKSHEET!$B$3:$B$1077,$C166,WORKSHEET!$D$3:$D$1077,$D194))</f>
        <v/>
      </c>
      <c r="J166" s="63" t="str">
        <f>IF($D194="","",COUNTIFS(WORKSHEET!N$3:N$1077,"YES*",WORKSHEET!$B$3:$B$1077,$C166,WORKSHEET!$D$3:$D$1077,$D194)/COUNTIFS(WORKSHEET!$B$3:$B$1077,$C166,WORKSHEET!$D$3:$D$1077,$D194))</f>
        <v/>
      </c>
      <c r="K166" s="63" t="str">
        <f>IF($D194="","",COUNTIFS(WORKSHEET!O$3:O$1077,"YES*",WORKSHEET!$B$3:$B$1077,$C166,WORKSHEET!$D$3:$D$1077,$D194)/COUNTIFS(WORKSHEET!$B$3:$B$1077,$C166,WORKSHEET!$D$3:$D$1077,$D194))</f>
        <v/>
      </c>
      <c r="L166" s="63" t="str">
        <f>IF($D194="","",COUNTIFS(WORKSHEET!P$3:P$1077,"YES*",WORKSHEET!$B$3:$B$1077,$C166,WORKSHEET!$D$3:$D$1077,$D194)/COUNTIFS(WORKSHEET!$B$3:$B$1077,$C166,WORKSHEET!$D$3:$D$1077,$D194))</f>
        <v/>
      </c>
      <c r="M166" s="63"/>
      <c r="N166" s="63"/>
      <c r="O166" s="63"/>
      <c r="P166" s="63"/>
      <c r="Q166" s="63"/>
      <c r="R166" s="63"/>
    </row>
    <row r="167" spans="1:18" ht="14.25" hidden="1">
      <c r="A167" s="42" t="str">
        <f t="shared" si="29"/>
        <v/>
      </c>
      <c r="B167" s="78" t="str">
        <f t="shared" si="25"/>
        <v/>
      </c>
      <c r="C167" s="41" t="str">
        <f t="shared" si="26"/>
        <v>Q4</v>
      </c>
      <c r="D167" s="41" t="str">
        <f>IF(A167="","",VLOOKUP($B167,KEY!$B$6:$D$74,3,FALSE))</f>
        <v/>
      </c>
      <c r="E167" s="53" t="str">
        <f>IFERROR(VLOOKUP($D167,KEY!$K$6:$M$55,3,FALSE),"")</f>
        <v/>
      </c>
      <c r="F167" s="67" t="str">
        <f t="shared" ref="F167:G167" si="49">IF($D167="","",F195+F223)</f>
        <v/>
      </c>
      <c r="G167" s="67" t="str">
        <f t="shared" si="49"/>
        <v/>
      </c>
      <c r="H167" s="63" t="str">
        <f t="shared" si="28"/>
        <v/>
      </c>
      <c r="I167" s="63" t="str">
        <f>IF($D195="","",COUNTIFS(WORKSHEET!M$3:M$1077,"YES*",WORKSHEET!$B$3:$B$1077,$C167,WORKSHEET!$D$3:$D$1077,$D195)/COUNTIFS(WORKSHEET!$B$3:$B$1077,$C167,WORKSHEET!$D$3:$D$1077,$D195))</f>
        <v/>
      </c>
      <c r="J167" s="63" t="str">
        <f>IF($D195="","",COUNTIFS(WORKSHEET!N$3:N$1077,"YES*",WORKSHEET!$B$3:$B$1077,$C167,WORKSHEET!$D$3:$D$1077,$D195)/COUNTIFS(WORKSHEET!$B$3:$B$1077,$C167,WORKSHEET!$D$3:$D$1077,$D195))</f>
        <v/>
      </c>
      <c r="K167" s="63" t="str">
        <f>IF($D195="","",COUNTIFS(WORKSHEET!O$3:O$1077,"YES*",WORKSHEET!$B$3:$B$1077,$C167,WORKSHEET!$D$3:$D$1077,$D195)/COUNTIFS(WORKSHEET!$B$3:$B$1077,$C167,WORKSHEET!$D$3:$D$1077,$D195))</f>
        <v/>
      </c>
      <c r="L167" s="63" t="str">
        <f>IF($D195="","",COUNTIFS(WORKSHEET!P$3:P$1077,"YES*",WORKSHEET!$B$3:$B$1077,$C167,WORKSHEET!$D$3:$D$1077,$D195)/COUNTIFS(WORKSHEET!$B$3:$B$1077,$C167,WORKSHEET!$D$3:$D$1077,$D195))</f>
        <v/>
      </c>
      <c r="M167" s="63"/>
      <c r="N167" s="63"/>
      <c r="O167" s="63"/>
      <c r="P167" s="63"/>
      <c r="Q167" s="63"/>
      <c r="R167" s="63"/>
    </row>
    <row r="168" spans="1:18" ht="14.25" hidden="1">
      <c r="A168" s="42" t="str">
        <f t="shared" si="29"/>
        <v/>
      </c>
      <c r="B168" s="78" t="str">
        <f t="shared" si="25"/>
        <v/>
      </c>
      <c r="C168" s="41" t="str">
        <f t="shared" si="26"/>
        <v>Q4</v>
      </c>
      <c r="D168" s="41" t="str">
        <f>IF(A168="","",VLOOKUP($B168,KEY!$B$6:$D$74,3,FALSE))</f>
        <v/>
      </c>
      <c r="E168" s="53" t="str">
        <f>IFERROR(VLOOKUP($D168,KEY!$K$6:$M$55,3,FALSE),"")</f>
        <v/>
      </c>
      <c r="F168" s="67" t="str">
        <f t="shared" ref="F168:G168" si="50">IF($D168="","",F196+F224)</f>
        <v/>
      </c>
      <c r="G168" s="67" t="str">
        <f t="shared" si="50"/>
        <v/>
      </c>
      <c r="H168" s="63" t="str">
        <f t="shared" si="28"/>
        <v/>
      </c>
      <c r="I168" s="63" t="str">
        <f>IF($D196="","",COUNTIFS(WORKSHEET!M$3:M$1077,"YES*",WORKSHEET!$B$3:$B$1077,$C168,WORKSHEET!$D$3:$D$1077,$D196)/COUNTIFS(WORKSHEET!$B$3:$B$1077,$C168,WORKSHEET!$D$3:$D$1077,$D196))</f>
        <v/>
      </c>
      <c r="J168" s="63" t="str">
        <f>IF($D196="","",COUNTIFS(WORKSHEET!N$3:N$1077,"YES*",WORKSHEET!$B$3:$B$1077,$C168,WORKSHEET!$D$3:$D$1077,$D196)/COUNTIFS(WORKSHEET!$B$3:$B$1077,$C168,WORKSHEET!$D$3:$D$1077,$D196))</f>
        <v/>
      </c>
      <c r="K168" s="63" t="str">
        <f>IF($D196="","",COUNTIFS(WORKSHEET!O$3:O$1077,"YES*",WORKSHEET!$B$3:$B$1077,$C168,WORKSHEET!$D$3:$D$1077,$D196)/COUNTIFS(WORKSHEET!$B$3:$B$1077,$C168,WORKSHEET!$D$3:$D$1077,$D196))</f>
        <v/>
      </c>
      <c r="L168" s="63" t="str">
        <f>IF($D196="","",COUNTIFS(WORKSHEET!P$3:P$1077,"YES*",WORKSHEET!$B$3:$B$1077,$C168,WORKSHEET!$D$3:$D$1077,$D196)/COUNTIFS(WORKSHEET!$B$3:$B$1077,$C168,WORKSHEET!$D$3:$D$1077,$D196))</f>
        <v/>
      </c>
      <c r="M168" s="63"/>
      <c r="N168" s="63"/>
      <c r="O168" s="63"/>
      <c r="P168" s="63"/>
      <c r="Q168" s="63"/>
      <c r="R168" s="63"/>
    </row>
    <row r="169" spans="1:18" ht="14.25" hidden="1">
      <c r="A169" s="42" t="str">
        <f t="shared" si="29"/>
        <v/>
      </c>
      <c r="B169" s="78" t="str">
        <f t="shared" si="25"/>
        <v/>
      </c>
      <c r="C169" s="41" t="str">
        <f t="shared" si="26"/>
        <v>Q4</v>
      </c>
      <c r="D169" s="41" t="str">
        <f>IF(A169="","",VLOOKUP($B169,KEY!$B$6:$D$74,3,FALSE))</f>
        <v/>
      </c>
      <c r="E169" s="53" t="str">
        <f>IFERROR(VLOOKUP($D169,KEY!$K$6:$M$55,3,FALSE),"")</f>
        <v/>
      </c>
      <c r="F169" s="67" t="str">
        <f t="shared" ref="F169:G169" si="51">IF($D169="","",F197+F225)</f>
        <v/>
      </c>
      <c r="G169" s="67" t="str">
        <f t="shared" si="51"/>
        <v/>
      </c>
      <c r="H169" s="63" t="str">
        <f t="shared" si="28"/>
        <v/>
      </c>
      <c r="I169" s="63" t="str">
        <f>IF($D197="","",COUNTIFS(WORKSHEET!M$3:M$1077,"YES*",WORKSHEET!$B$3:$B$1077,$C169,WORKSHEET!$D$3:$D$1077,$D197)/COUNTIFS(WORKSHEET!$B$3:$B$1077,$C169,WORKSHEET!$D$3:$D$1077,$D197))</f>
        <v/>
      </c>
      <c r="J169" s="63" t="str">
        <f>IF($D197="","",COUNTIFS(WORKSHEET!N$3:N$1077,"YES*",WORKSHEET!$B$3:$B$1077,$C169,WORKSHEET!$D$3:$D$1077,$D197)/COUNTIFS(WORKSHEET!$B$3:$B$1077,$C169,WORKSHEET!$D$3:$D$1077,$D197))</f>
        <v/>
      </c>
      <c r="K169" s="63" t="str">
        <f>IF($D197="","",COUNTIFS(WORKSHEET!O$3:O$1077,"YES*",WORKSHEET!$B$3:$B$1077,$C169,WORKSHEET!$D$3:$D$1077,$D197)/COUNTIFS(WORKSHEET!$B$3:$B$1077,$C169,WORKSHEET!$D$3:$D$1077,$D197))</f>
        <v/>
      </c>
      <c r="L169" s="63" t="str">
        <f>IF($D197="","",COUNTIFS(WORKSHEET!P$3:P$1077,"YES*",WORKSHEET!$B$3:$B$1077,$C169,WORKSHEET!$D$3:$D$1077,$D197)/COUNTIFS(WORKSHEET!$B$3:$B$1077,$C169,WORKSHEET!$D$3:$D$1077,$D197))</f>
        <v/>
      </c>
      <c r="M169" s="63"/>
      <c r="N169" s="63"/>
      <c r="O169" s="63"/>
      <c r="P169" s="63"/>
      <c r="Q169" s="63"/>
      <c r="R169" s="63"/>
    </row>
    <row r="170" spans="1:18" ht="14.25" hidden="1">
      <c r="A170" s="42" t="str">
        <f t="shared" si="29"/>
        <v/>
      </c>
      <c r="B170" s="78" t="str">
        <f t="shared" si="25"/>
        <v/>
      </c>
      <c r="C170" s="41" t="str">
        <f t="shared" si="26"/>
        <v>Q4</v>
      </c>
      <c r="D170" s="41" t="str">
        <f>IF(A170="","",VLOOKUP($B170,KEY!$B$6:$D$74,3,FALSE))</f>
        <v/>
      </c>
      <c r="E170" s="53" t="str">
        <f>IFERROR(VLOOKUP($D170,KEY!$K$6:$M$55,3,FALSE),"")</f>
        <v/>
      </c>
      <c r="F170" s="67" t="str">
        <f t="shared" ref="F170:G170" si="52">IF($D170="","",F198+F226)</f>
        <v/>
      </c>
      <c r="G170" s="67" t="str">
        <f t="shared" si="52"/>
        <v/>
      </c>
      <c r="H170" s="63" t="str">
        <f t="shared" si="28"/>
        <v/>
      </c>
      <c r="I170" s="63" t="str">
        <f>IF($D198="","",COUNTIFS(WORKSHEET!M$3:M$1077,"YES*",WORKSHEET!$B$3:$B$1077,$C170,WORKSHEET!$D$3:$D$1077,$D198)/COUNTIFS(WORKSHEET!$B$3:$B$1077,$C170,WORKSHEET!$D$3:$D$1077,$D198))</f>
        <v/>
      </c>
      <c r="J170" s="63" t="str">
        <f>IF($D198="","",COUNTIFS(WORKSHEET!N$3:N$1077,"YES*",WORKSHEET!$B$3:$B$1077,$C170,WORKSHEET!$D$3:$D$1077,$D198)/COUNTIFS(WORKSHEET!$B$3:$B$1077,$C170,WORKSHEET!$D$3:$D$1077,$D198))</f>
        <v/>
      </c>
      <c r="K170" s="63" t="str">
        <f>IF($D198="","",COUNTIFS(WORKSHEET!O$3:O$1077,"YES*",WORKSHEET!$B$3:$B$1077,$C170,WORKSHEET!$D$3:$D$1077,$D198)/COUNTIFS(WORKSHEET!$B$3:$B$1077,$C170,WORKSHEET!$D$3:$D$1077,$D198))</f>
        <v/>
      </c>
      <c r="L170" s="63" t="str">
        <f>IF($D198="","",COUNTIFS(WORKSHEET!P$3:P$1077,"YES*",WORKSHEET!$B$3:$B$1077,$C170,WORKSHEET!$D$3:$D$1077,$D198)/COUNTIFS(WORKSHEET!$B$3:$B$1077,$C170,WORKSHEET!$D$3:$D$1077,$D198))</f>
        <v/>
      </c>
      <c r="M170" s="63"/>
      <c r="N170" s="63"/>
      <c r="O170" s="63"/>
      <c r="P170" s="63"/>
      <c r="Q170" s="63"/>
      <c r="R170" s="63"/>
    </row>
    <row r="171" spans="1:18" s="56" customFormat="1" ht="15.75" hidden="1">
      <c r="A171" s="76" t="s">
        <v>27</v>
      </c>
      <c r="B171" s="79"/>
      <c r="C171" s="56" t="str">
        <f t="shared" si="26"/>
        <v>Q4</v>
      </c>
      <c r="D171" s="56" t="str">
        <f>D144</f>
        <v>Arizona</v>
      </c>
      <c r="E171" s="64">
        <f>E144</f>
        <v>18</v>
      </c>
      <c r="F171" s="68">
        <f>SUM(F146:F170)</f>
        <v>144</v>
      </c>
      <c r="G171" s="68">
        <f>SUM(G146:G170)</f>
        <v>130</v>
      </c>
      <c r="H171" s="66">
        <f t="shared" si="28"/>
        <v>0.90277777777777779</v>
      </c>
      <c r="I171" s="66">
        <f>IF($D171="","",COUNTIFS(WORKSHEET!M$3:M$1077,"YES*",WORKSHEET!$B$3:$B$1077,$C171,WORKSHEET!$E$3:$E$1077,$D171)/COUNTIFS(WORKSHEET!$B$3:$B$1077,$C171,WORKSHEET!$E$3:$E$1077,$D171))</f>
        <v>0.91666666666666663</v>
      </c>
      <c r="J171" s="66">
        <f>IF($D171="","",COUNTIFS(WORKSHEET!N$3:N$1077,"YES*",WORKSHEET!$B$3:$B$1077,$C171,WORKSHEET!$E$3:$E$1077,$D171)/COUNTIFS(WORKSHEET!$B$3:$B$1077,$C171,WORKSHEET!$E$3:$E$1077,$D171))</f>
        <v>0.83333333333333337</v>
      </c>
      <c r="K171" s="66">
        <f>IF($D171="","",COUNTIFS(WORKSHEET!O$3:O$1077,"YES*",WORKSHEET!$B$3:$B$1077,$C171,WORKSHEET!$E$3:$E$1077,$D171)/COUNTIFS(WORKSHEET!$B$3:$B$1077,$C171,WORKSHEET!$E$3:$E$1077,$D171))</f>
        <v>0.94444444444444442</v>
      </c>
      <c r="L171" s="66">
        <f>IF($D171="","",COUNTIFS(WORKSHEET!P$3:P$1077,"YES*",WORKSHEET!$B$3:$B$1077,$C171,WORKSHEET!$E$3:$E$1077,$D171)/COUNTIFS(WORKSHEET!$B$3:$B$1077,$C171,WORKSHEET!$E$3:$E$1077,$D171))</f>
        <v>0.91666666666666663</v>
      </c>
      <c r="M171" s="66"/>
      <c r="N171" s="66"/>
      <c r="O171" s="66"/>
      <c r="P171" s="66"/>
      <c r="Q171" s="66"/>
      <c r="R171" s="66"/>
    </row>
    <row r="172" spans="1:18" hidden="1"/>
    <row r="173" spans="1:18" ht="48" hidden="1" customHeight="1">
      <c r="A173" s="42">
        <v>0</v>
      </c>
      <c r="B173" s="42"/>
      <c r="C173" s="41" t="s">
        <v>21</v>
      </c>
      <c r="D173" s="41" t="s">
        <v>34</v>
      </c>
      <c r="E173" s="53" t="s">
        <v>23</v>
      </c>
      <c r="F173" s="53" t="s">
        <v>24</v>
      </c>
      <c r="G173" s="53" t="s">
        <v>25</v>
      </c>
      <c r="H173" s="53" t="s">
        <v>26</v>
      </c>
      <c r="I173" s="55" t="s">
        <v>3</v>
      </c>
      <c r="J173" s="55" t="s">
        <v>4</v>
      </c>
      <c r="K173" s="55" t="s">
        <v>5</v>
      </c>
      <c r="L173" s="55" t="s">
        <v>6</v>
      </c>
      <c r="M173" s="55"/>
      <c r="N173" s="55"/>
      <c r="O173" s="55"/>
      <c r="P173" s="55"/>
      <c r="Q173" s="55"/>
      <c r="R173" s="55"/>
    </row>
    <row r="174" spans="1:18" ht="14.25" hidden="1">
      <c r="A174" s="42">
        <v>1</v>
      </c>
      <c r="B174" s="78" t="str">
        <f>IF(A174&gt;$E$144,"",$D$144&amp;"_"&amp;A174)</f>
        <v>Arizona_1</v>
      </c>
      <c r="C174" s="71" t="str">
        <f>$C$144&amp;" Shop 1"</f>
        <v>Q4 Shop 1</v>
      </c>
      <c r="D174" s="41" t="str">
        <f>IF(A174="","",VLOOKUP($B174,KEY!$B$6:$D$74,3,FALSE))</f>
        <v>Acura North Scottsdale</v>
      </c>
      <c r="E174" s="53" t="str">
        <f>IFERROR(VLOOKUP($D174,KEY!$K$6:$M$55,3,FALSE),"")</f>
        <v/>
      </c>
      <c r="F174" s="67">
        <f>IF($D174="","",SUMIFS(WORKSHEET!H$3:H$1077,WORKSHEET!$A$3:$A$1077,$C174,WORKSHEET!$D$3:$D$1077,$D174))</f>
        <v>4</v>
      </c>
      <c r="G174" s="67">
        <f>IF($D174="","",SUMIFS(WORKSHEET!I$3:I$1077,WORKSHEET!$A$3:$A$1077,$C174,WORKSHEET!$D$3:$D$1077,$D174))</f>
        <v>4</v>
      </c>
      <c r="H174" s="63">
        <f>IF($D174="","",G174/F174)</f>
        <v>1</v>
      </c>
      <c r="I174" s="63">
        <f>IF($D174="","",COUNTIFS(WORKSHEET!M$3:M$1077,"YES*",WORKSHEET!$A$3:$A$1077,$C174,WORKSHEET!$D$3:$D$1077,$D174))</f>
        <v>1</v>
      </c>
      <c r="J174" s="63">
        <f>IF($D174="","",COUNTIFS(WORKSHEET!N$3:N$1077,"YES*",WORKSHEET!$A$3:$A$1077,$C174,WORKSHEET!$D$3:$D$1077,$D174))</f>
        <v>1</v>
      </c>
      <c r="K174" s="63">
        <f>IF($D174="","",COUNTIFS(WORKSHEET!O$3:O$1077,"YES*",WORKSHEET!$A$3:$A$1077,$C174,WORKSHEET!$D$3:$D$1077,$D174))</f>
        <v>1</v>
      </c>
      <c r="L174" s="63">
        <f>IF($D174="","",COUNTIFS(WORKSHEET!P$3:P$1077,"YES*",WORKSHEET!$A$3:$A$1077,$C174,WORKSHEET!$D$3:$D$1077,$D174))</f>
        <v>1</v>
      </c>
      <c r="M174" s="63"/>
      <c r="N174" s="63"/>
      <c r="O174" s="63"/>
      <c r="P174" s="63"/>
      <c r="Q174" s="63"/>
      <c r="R174" s="63"/>
    </row>
    <row r="175" spans="1:18" ht="14.25" hidden="1">
      <c r="A175" s="42">
        <f>IF(A174="","",IF(A174&lt;$E$144,A174+1,""))</f>
        <v>2</v>
      </c>
      <c r="B175" s="78" t="str">
        <f t="shared" ref="B175:B198" si="53">IF(A175&gt;$E$144,"",$D$144&amp;"_"&amp;A175)</f>
        <v>Arizona_2</v>
      </c>
      <c r="C175" s="41" t="str">
        <f t="shared" ref="C175:C199" si="54">$C$144&amp;" Shop 1"</f>
        <v>Q4 Shop 1</v>
      </c>
      <c r="D175" s="41" t="str">
        <f>IF(A175="","",VLOOKUP($B175,KEY!$B$6:$D$74,3,FALSE))</f>
        <v>Audi Chandler</v>
      </c>
      <c r="E175" s="53" t="str">
        <f>IFERROR(VLOOKUP($D175,KEY!$K$6:$M$55,3,FALSE),"")</f>
        <v/>
      </c>
      <c r="F175" s="67">
        <f>IF($D175="","",SUMIFS(WORKSHEET!H$3:H$1077,WORKSHEET!$A$3:$A$1077,$C175,WORKSHEET!$D$3:$D$1077,$D175))</f>
        <v>4</v>
      </c>
      <c r="G175" s="67">
        <f>IF($D175="","",SUMIFS(WORKSHEET!I$3:I$1077,WORKSHEET!$A$3:$A$1077,$C175,WORKSHEET!$D$3:$D$1077,$D175))</f>
        <v>4</v>
      </c>
      <c r="H175" s="63">
        <f t="shared" ref="H175:H199" si="55">IF($D175="","",G175/F175)</f>
        <v>1</v>
      </c>
      <c r="I175" s="63">
        <f>IF($D175="","",COUNTIFS(WORKSHEET!M$3:M$1077,"YES*",WORKSHEET!$A$3:$A$1077,$C175,WORKSHEET!$D$3:$D$1077,$D175))</f>
        <v>1</v>
      </c>
      <c r="J175" s="63">
        <f>IF($D175="","",COUNTIFS(WORKSHEET!N$3:N$1077,"YES*",WORKSHEET!$A$3:$A$1077,$C175,WORKSHEET!$D$3:$D$1077,$D175))</f>
        <v>1</v>
      </c>
      <c r="K175" s="63">
        <f>IF($D175="","",COUNTIFS(WORKSHEET!O$3:O$1077,"YES*",WORKSHEET!$A$3:$A$1077,$C175,WORKSHEET!$D$3:$D$1077,$D175))</f>
        <v>1</v>
      </c>
      <c r="L175" s="63">
        <f>IF($D175="","",COUNTIFS(WORKSHEET!P$3:P$1077,"YES*",WORKSHEET!$A$3:$A$1077,$C175,WORKSHEET!$D$3:$D$1077,$D175))</f>
        <v>1</v>
      </c>
      <c r="M175" s="63"/>
      <c r="N175" s="63"/>
      <c r="O175" s="63"/>
      <c r="P175" s="63"/>
      <c r="Q175" s="63"/>
      <c r="R175" s="63"/>
    </row>
    <row r="176" spans="1:18" ht="14.25" hidden="1">
      <c r="A176" s="42">
        <f t="shared" ref="A176:A198" si="56">IF(A175="","",IF(A175&lt;$E$144,A175+1,""))</f>
        <v>3</v>
      </c>
      <c r="B176" s="78" t="str">
        <f t="shared" si="53"/>
        <v>Arizona_3</v>
      </c>
      <c r="C176" s="41" t="str">
        <f t="shared" si="54"/>
        <v>Q4 Shop 1</v>
      </c>
      <c r="D176" s="41" t="str">
        <f>IF(A176="","",VLOOKUP($B176,KEY!$B$6:$D$74,3,FALSE))</f>
        <v>Audi North Scottsdale</v>
      </c>
      <c r="E176" s="53" t="str">
        <f>IFERROR(VLOOKUP($D176,KEY!$K$6:$M$55,3,FALSE),"")</f>
        <v/>
      </c>
      <c r="F176" s="67">
        <f>IF($D176="","",SUMIFS(WORKSHEET!H$3:H$1077,WORKSHEET!$A$3:$A$1077,$C176,WORKSHEET!$D$3:$D$1077,$D176))</f>
        <v>4</v>
      </c>
      <c r="G176" s="67">
        <f>IF($D176="","",SUMIFS(WORKSHEET!I$3:I$1077,WORKSHEET!$A$3:$A$1077,$C176,WORKSHEET!$D$3:$D$1077,$D176))</f>
        <v>4</v>
      </c>
      <c r="H176" s="63">
        <f t="shared" si="55"/>
        <v>1</v>
      </c>
      <c r="I176" s="63">
        <f>IF($D176="","",COUNTIFS(WORKSHEET!M$3:M$1077,"YES*",WORKSHEET!$A$3:$A$1077,$C176,WORKSHEET!$D$3:$D$1077,$D176))</f>
        <v>1</v>
      </c>
      <c r="J176" s="63">
        <f>IF($D176="","",COUNTIFS(WORKSHEET!N$3:N$1077,"YES*",WORKSHEET!$A$3:$A$1077,$C176,WORKSHEET!$D$3:$D$1077,$D176))</f>
        <v>1</v>
      </c>
      <c r="K176" s="63">
        <f>IF($D176="","",COUNTIFS(WORKSHEET!O$3:O$1077,"YES*",WORKSHEET!$A$3:$A$1077,$C176,WORKSHEET!$D$3:$D$1077,$D176))</f>
        <v>1</v>
      </c>
      <c r="L176" s="63">
        <f>IF($D176="","",COUNTIFS(WORKSHEET!P$3:P$1077,"YES*",WORKSHEET!$A$3:$A$1077,$C176,WORKSHEET!$D$3:$D$1077,$D176))</f>
        <v>1</v>
      </c>
      <c r="M176" s="63"/>
      <c r="N176" s="63"/>
      <c r="O176" s="63"/>
      <c r="P176" s="63"/>
      <c r="Q176" s="63"/>
      <c r="R176" s="63"/>
    </row>
    <row r="177" spans="1:18" ht="14.25" hidden="1">
      <c r="A177" s="42">
        <f t="shared" si="56"/>
        <v>4</v>
      </c>
      <c r="B177" s="78" t="str">
        <f t="shared" si="53"/>
        <v>Arizona_4</v>
      </c>
      <c r="C177" s="41" t="str">
        <f t="shared" si="54"/>
        <v>Q4 Shop 1</v>
      </c>
      <c r="D177" s="41" t="str">
        <f>IF(A177="","",VLOOKUP($B177,KEY!$B$6:$D$74,3,FALSE))</f>
        <v>Bentley Scottsdale</v>
      </c>
      <c r="E177" s="53" t="str">
        <f>IFERROR(VLOOKUP($D177,KEY!$K$6:$M$55,3,FALSE),"")</f>
        <v/>
      </c>
      <c r="F177" s="67">
        <f>IF($D177="","",SUMIFS(WORKSHEET!H$3:H$1077,WORKSHEET!$A$3:$A$1077,$C177,WORKSHEET!$D$3:$D$1077,$D177))</f>
        <v>4</v>
      </c>
      <c r="G177" s="67">
        <f>IF($D177="","",SUMIFS(WORKSHEET!I$3:I$1077,WORKSHEET!$A$3:$A$1077,$C177,WORKSHEET!$D$3:$D$1077,$D177))</f>
        <v>2</v>
      </c>
      <c r="H177" s="63">
        <f t="shared" si="55"/>
        <v>0.5</v>
      </c>
      <c r="I177" s="63">
        <f>IF($D177="","",COUNTIFS(WORKSHEET!M$3:M$1077,"YES*",WORKSHEET!$A$3:$A$1077,$C177,WORKSHEET!$D$3:$D$1077,$D177))</f>
        <v>0</v>
      </c>
      <c r="J177" s="63">
        <f>IF($D177="","",COUNTIFS(WORKSHEET!N$3:N$1077,"YES*",WORKSHEET!$A$3:$A$1077,$C177,WORKSHEET!$D$3:$D$1077,$D177))</f>
        <v>0</v>
      </c>
      <c r="K177" s="63">
        <f>IF($D177="","",COUNTIFS(WORKSHEET!O$3:O$1077,"YES*",WORKSHEET!$A$3:$A$1077,$C177,WORKSHEET!$D$3:$D$1077,$D177))</f>
        <v>1</v>
      </c>
      <c r="L177" s="63">
        <f>IF($D177="","",COUNTIFS(WORKSHEET!P$3:P$1077,"YES*",WORKSHEET!$A$3:$A$1077,$C177,WORKSHEET!$D$3:$D$1077,$D177))</f>
        <v>1</v>
      </c>
      <c r="M177" s="63"/>
      <c r="N177" s="63"/>
      <c r="O177" s="63"/>
      <c r="P177" s="63"/>
      <c r="Q177" s="63"/>
      <c r="R177" s="63"/>
    </row>
    <row r="178" spans="1:18" ht="14.25" hidden="1">
      <c r="A178" s="42">
        <f t="shared" si="56"/>
        <v>5</v>
      </c>
      <c r="B178" s="78" t="str">
        <f t="shared" si="53"/>
        <v>Arizona_5</v>
      </c>
      <c r="C178" s="41" t="str">
        <f t="shared" si="54"/>
        <v>Q4 Shop 1</v>
      </c>
      <c r="D178" s="41" t="str">
        <f>IF(A178="","",VLOOKUP($B178,KEY!$B$6:$D$74,3,FALSE))</f>
        <v>BMW North Scottsdale</v>
      </c>
      <c r="E178" s="53" t="str">
        <f>IFERROR(VLOOKUP($D178,KEY!$K$6:$M$55,3,FALSE),"")</f>
        <v/>
      </c>
      <c r="F178" s="67">
        <f>IF($D178="","",SUMIFS(WORKSHEET!H$3:H$1077,WORKSHEET!$A$3:$A$1077,$C178,WORKSHEET!$D$3:$D$1077,$D178))</f>
        <v>4</v>
      </c>
      <c r="G178" s="67">
        <f>IF($D178="","",SUMIFS(WORKSHEET!I$3:I$1077,WORKSHEET!$A$3:$A$1077,$C178,WORKSHEET!$D$3:$D$1077,$D178))</f>
        <v>4</v>
      </c>
      <c r="H178" s="63">
        <f t="shared" si="55"/>
        <v>1</v>
      </c>
      <c r="I178" s="63">
        <f>IF($D178="","",COUNTIFS(WORKSHEET!M$3:M$1077,"YES*",WORKSHEET!$A$3:$A$1077,$C178,WORKSHEET!$D$3:$D$1077,$D178))</f>
        <v>1</v>
      </c>
      <c r="J178" s="63">
        <f>IF($D178="","",COUNTIFS(WORKSHEET!N$3:N$1077,"YES*",WORKSHEET!$A$3:$A$1077,$C178,WORKSHEET!$D$3:$D$1077,$D178))</f>
        <v>1</v>
      </c>
      <c r="K178" s="63">
        <f>IF($D178="","",COUNTIFS(WORKSHEET!O$3:O$1077,"YES*",WORKSHEET!$A$3:$A$1077,$C178,WORKSHEET!$D$3:$D$1077,$D178))</f>
        <v>1</v>
      </c>
      <c r="L178" s="63">
        <f>IF($D178="","",COUNTIFS(WORKSHEET!P$3:P$1077,"YES*",WORKSHEET!$A$3:$A$1077,$C178,WORKSHEET!$D$3:$D$1077,$D178))</f>
        <v>1</v>
      </c>
      <c r="M178" s="63"/>
      <c r="N178" s="63"/>
      <c r="O178" s="63"/>
      <c r="P178" s="63"/>
      <c r="Q178" s="63"/>
      <c r="R178" s="63"/>
    </row>
    <row r="179" spans="1:18" ht="14.25" hidden="1">
      <c r="A179" s="42">
        <f t="shared" si="56"/>
        <v>6</v>
      </c>
      <c r="B179" s="78" t="str">
        <f t="shared" si="53"/>
        <v>Arizona_6</v>
      </c>
      <c r="C179" s="41" t="str">
        <f t="shared" si="54"/>
        <v>Q4 Shop 1</v>
      </c>
      <c r="D179" s="41" t="str">
        <f>IF(A179="","",VLOOKUP($B179,KEY!$B$6:$D$74,3,FALSE))</f>
        <v>Lamborghini North Scottsdale</v>
      </c>
      <c r="E179" s="53" t="str">
        <f>IFERROR(VLOOKUP($D179,KEY!$K$6:$M$55,3,FALSE),"")</f>
        <v/>
      </c>
      <c r="F179" s="67">
        <f>IF($D179="","",SUMIFS(WORKSHEET!H$3:H$1077,WORKSHEET!$A$3:$A$1077,$C179,WORKSHEET!$D$3:$D$1077,$D179))</f>
        <v>4</v>
      </c>
      <c r="G179" s="67">
        <f>IF($D179="","",SUMIFS(WORKSHEET!I$3:I$1077,WORKSHEET!$A$3:$A$1077,$C179,WORKSHEET!$D$3:$D$1077,$D179))</f>
        <v>4</v>
      </c>
      <c r="H179" s="63">
        <f t="shared" si="55"/>
        <v>1</v>
      </c>
      <c r="I179" s="63">
        <f>IF($D179="","",COUNTIFS(WORKSHEET!M$3:M$1077,"YES*",WORKSHEET!$A$3:$A$1077,$C179,WORKSHEET!$D$3:$D$1077,$D179))</f>
        <v>1</v>
      </c>
      <c r="J179" s="63">
        <f>IF($D179="","",COUNTIFS(WORKSHEET!N$3:N$1077,"YES*",WORKSHEET!$A$3:$A$1077,$C179,WORKSHEET!$D$3:$D$1077,$D179))</f>
        <v>1</v>
      </c>
      <c r="K179" s="63">
        <f>IF($D179="","",COUNTIFS(WORKSHEET!O$3:O$1077,"YES*",WORKSHEET!$A$3:$A$1077,$C179,WORKSHEET!$D$3:$D$1077,$D179))</f>
        <v>1</v>
      </c>
      <c r="L179" s="63">
        <f>IF($D179="","",COUNTIFS(WORKSHEET!P$3:P$1077,"YES*",WORKSHEET!$A$3:$A$1077,$C179,WORKSHEET!$D$3:$D$1077,$D179))</f>
        <v>1</v>
      </c>
      <c r="M179" s="63"/>
      <c r="N179" s="63"/>
      <c r="O179" s="63"/>
      <c r="P179" s="63"/>
      <c r="Q179" s="63"/>
      <c r="R179" s="63"/>
    </row>
    <row r="180" spans="1:18" ht="14.25" hidden="1">
      <c r="A180" s="42">
        <f t="shared" si="56"/>
        <v>7</v>
      </c>
      <c r="B180" s="78" t="str">
        <f t="shared" si="53"/>
        <v>Arizona_7</v>
      </c>
      <c r="C180" s="41" t="str">
        <f t="shared" si="54"/>
        <v>Q4 Shop 1</v>
      </c>
      <c r="D180" s="41" t="str">
        <f>IF(A180="","",VLOOKUP($B180,KEY!$B$6:$D$74,3,FALSE))</f>
        <v>Land Rover Chandler</v>
      </c>
      <c r="E180" s="53" t="str">
        <f>IFERROR(VLOOKUP($D180,KEY!$K$6:$M$55,3,FALSE),"")</f>
        <v/>
      </c>
      <c r="F180" s="67">
        <f>IF($D180="","",SUMIFS(WORKSHEET!H$3:H$1077,WORKSHEET!$A$3:$A$1077,$C180,WORKSHEET!$D$3:$D$1077,$D180))</f>
        <v>4</v>
      </c>
      <c r="G180" s="67">
        <f>IF($D180="","",SUMIFS(WORKSHEET!I$3:I$1077,WORKSHEET!$A$3:$A$1077,$C180,WORKSHEET!$D$3:$D$1077,$D180))</f>
        <v>4</v>
      </c>
      <c r="H180" s="63">
        <f t="shared" si="55"/>
        <v>1</v>
      </c>
      <c r="I180" s="63">
        <f>IF($D180="","",COUNTIFS(WORKSHEET!M$3:M$1077,"YES*",WORKSHEET!$A$3:$A$1077,$C180,WORKSHEET!$D$3:$D$1077,$D180))</f>
        <v>1</v>
      </c>
      <c r="J180" s="63">
        <f>IF($D180="","",COUNTIFS(WORKSHEET!N$3:N$1077,"YES*",WORKSHEET!$A$3:$A$1077,$C180,WORKSHEET!$D$3:$D$1077,$D180))</f>
        <v>1</v>
      </c>
      <c r="K180" s="63">
        <f>IF($D180="","",COUNTIFS(WORKSHEET!O$3:O$1077,"YES*",WORKSHEET!$A$3:$A$1077,$C180,WORKSHEET!$D$3:$D$1077,$D180))</f>
        <v>1</v>
      </c>
      <c r="L180" s="63">
        <f>IF($D180="","",COUNTIFS(WORKSHEET!P$3:P$1077,"YES*",WORKSHEET!$A$3:$A$1077,$C180,WORKSHEET!$D$3:$D$1077,$D180))</f>
        <v>1</v>
      </c>
      <c r="M180" s="63"/>
      <c r="N180" s="63"/>
      <c r="O180" s="63"/>
      <c r="P180" s="63"/>
      <c r="Q180" s="63"/>
      <c r="R180" s="63"/>
    </row>
    <row r="181" spans="1:18" ht="14.25" hidden="1">
      <c r="A181" s="42">
        <f t="shared" si="56"/>
        <v>8</v>
      </c>
      <c r="B181" s="78" t="str">
        <f t="shared" si="53"/>
        <v>Arizona_8</v>
      </c>
      <c r="C181" s="41" t="str">
        <f t="shared" si="54"/>
        <v>Q4 Shop 1</v>
      </c>
      <c r="D181" s="41" t="str">
        <f>IF(A181="","",VLOOKUP($B181,KEY!$B$6:$D$74,3,FALSE))</f>
        <v>Land Rover North Scottsdale</v>
      </c>
      <c r="E181" s="53" t="str">
        <f>IFERROR(VLOOKUP($D181,KEY!$K$6:$M$55,3,FALSE),"")</f>
        <v/>
      </c>
      <c r="F181" s="67">
        <f>IF($D181="","",SUMIFS(WORKSHEET!H$3:H$1077,WORKSHEET!$A$3:$A$1077,$C181,WORKSHEET!$D$3:$D$1077,$D181))</f>
        <v>4</v>
      </c>
      <c r="G181" s="67">
        <f>IF($D181="","",SUMIFS(WORKSHEET!I$3:I$1077,WORKSHEET!$A$3:$A$1077,$C181,WORKSHEET!$D$3:$D$1077,$D181))</f>
        <v>4</v>
      </c>
      <c r="H181" s="63">
        <f t="shared" si="55"/>
        <v>1</v>
      </c>
      <c r="I181" s="63">
        <f>IF($D181="","",COUNTIFS(WORKSHEET!M$3:M$1077,"YES*",WORKSHEET!$A$3:$A$1077,$C181,WORKSHEET!$D$3:$D$1077,$D181))</f>
        <v>1</v>
      </c>
      <c r="J181" s="63">
        <f>IF($D181="","",COUNTIFS(WORKSHEET!N$3:N$1077,"YES*",WORKSHEET!$A$3:$A$1077,$C181,WORKSHEET!$D$3:$D$1077,$D181))</f>
        <v>1</v>
      </c>
      <c r="K181" s="63">
        <f>IF($D181="","",COUNTIFS(WORKSHEET!O$3:O$1077,"YES*",WORKSHEET!$A$3:$A$1077,$C181,WORKSHEET!$D$3:$D$1077,$D181))</f>
        <v>1</v>
      </c>
      <c r="L181" s="63">
        <f>IF($D181="","",COUNTIFS(WORKSHEET!P$3:P$1077,"YES*",WORKSHEET!$A$3:$A$1077,$C181,WORKSHEET!$D$3:$D$1077,$D181))</f>
        <v>1</v>
      </c>
      <c r="M181" s="63"/>
      <c r="N181" s="63"/>
      <c r="O181" s="63"/>
      <c r="P181" s="63"/>
      <c r="Q181" s="63"/>
      <c r="R181" s="63"/>
    </row>
    <row r="182" spans="1:18" ht="14.25" hidden="1">
      <c r="A182" s="42">
        <f t="shared" si="56"/>
        <v>9</v>
      </c>
      <c r="B182" s="78" t="str">
        <f t="shared" si="53"/>
        <v>Arizona_9</v>
      </c>
      <c r="C182" s="41" t="str">
        <f t="shared" si="54"/>
        <v>Q4 Shop 1</v>
      </c>
      <c r="D182" s="41" t="str">
        <f>IF(A182="","",VLOOKUP($B182,KEY!$B$6:$D$74,3,FALSE))</f>
        <v>Lexus of Chandler</v>
      </c>
      <c r="E182" s="53" t="str">
        <f>IFERROR(VLOOKUP($D182,KEY!$K$6:$M$55,3,FALSE),"")</f>
        <v/>
      </c>
      <c r="F182" s="67">
        <f>IF($D182="","",SUMIFS(WORKSHEET!H$3:H$1077,WORKSHEET!$A$3:$A$1077,$C182,WORKSHEET!$D$3:$D$1077,$D182))</f>
        <v>4</v>
      </c>
      <c r="G182" s="67">
        <f>IF($D182="","",SUMIFS(WORKSHEET!I$3:I$1077,WORKSHEET!$A$3:$A$1077,$C182,WORKSHEET!$D$3:$D$1077,$D182))</f>
        <v>3</v>
      </c>
      <c r="H182" s="63">
        <f t="shared" si="55"/>
        <v>0.75</v>
      </c>
      <c r="I182" s="63">
        <f>IF($D182="","",COUNTIFS(WORKSHEET!M$3:M$1077,"YES*",WORKSHEET!$A$3:$A$1077,$C182,WORKSHEET!$D$3:$D$1077,$D182))</f>
        <v>1</v>
      </c>
      <c r="J182" s="63">
        <f>IF($D182="","",COUNTIFS(WORKSHEET!N$3:N$1077,"YES*",WORKSHEET!$A$3:$A$1077,$C182,WORKSHEET!$D$3:$D$1077,$D182))</f>
        <v>0</v>
      </c>
      <c r="K182" s="63">
        <f>IF($D182="","",COUNTIFS(WORKSHEET!O$3:O$1077,"YES*",WORKSHEET!$A$3:$A$1077,$C182,WORKSHEET!$D$3:$D$1077,$D182))</f>
        <v>1</v>
      </c>
      <c r="L182" s="63">
        <f>IF($D182="","",COUNTIFS(WORKSHEET!P$3:P$1077,"YES*",WORKSHEET!$A$3:$A$1077,$C182,WORKSHEET!$D$3:$D$1077,$D182))</f>
        <v>1</v>
      </c>
      <c r="M182" s="63"/>
      <c r="N182" s="63"/>
      <c r="O182" s="63"/>
      <c r="P182" s="63"/>
      <c r="Q182" s="63"/>
      <c r="R182" s="63"/>
    </row>
    <row r="183" spans="1:18" ht="14.25" hidden="1">
      <c r="A183" s="42">
        <f t="shared" si="56"/>
        <v>10</v>
      </c>
      <c r="B183" s="78" t="str">
        <f t="shared" si="53"/>
        <v>Arizona_10</v>
      </c>
      <c r="C183" s="41" t="str">
        <f t="shared" si="54"/>
        <v>Q4 Shop 1</v>
      </c>
      <c r="D183" s="41" t="str">
        <f>IF(A183="","",VLOOKUP($B183,KEY!$B$6:$D$74,3,FALSE))</f>
        <v>Mercedes-Benz of Chandler</v>
      </c>
      <c r="E183" s="53" t="str">
        <f>IFERROR(VLOOKUP($D183,KEY!$K$6:$M$55,3,FALSE),"")</f>
        <v/>
      </c>
      <c r="F183" s="67">
        <f>IF($D183="","",SUMIFS(WORKSHEET!H$3:H$1077,WORKSHEET!$A$3:$A$1077,$C183,WORKSHEET!$D$3:$D$1077,$D183))</f>
        <v>4</v>
      </c>
      <c r="G183" s="67">
        <f>IF($D183="","",SUMIFS(WORKSHEET!I$3:I$1077,WORKSHEET!$A$3:$A$1077,$C183,WORKSHEET!$D$3:$D$1077,$D183))</f>
        <v>4</v>
      </c>
      <c r="H183" s="63">
        <f t="shared" si="55"/>
        <v>1</v>
      </c>
      <c r="I183" s="63">
        <f>IF($D183="","",COUNTIFS(WORKSHEET!M$3:M$1077,"YES*",WORKSHEET!$A$3:$A$1077,$C183,WORKSHEET!$D$3:$D$1077,$D183))</f>
        <v>1</v>
      </c>
      <c r="J183" s="63">
        <f>IF($D183="","",COUNTIFS(WORKSHEET!N$3:N$1077,"YES*",WORKSHEET!$A$3:$A$1077,$C183,WORKSHEET!$D$3:$D$1077,$D183))</f>
        <v>1</v>
      </c>
      <c r="K183" s="63">
        <f>IF($D183="","",COUNTIFS(WORKSHEET!O$3:O$1077,"YES*",WORKSHEET!$A$3:$A$1077,$C183,WORKSHEET!$D$3:$D$1077,$D183))</f>
        <v>1</v>
      </c>
      <c r="L183" s="63">
        <f>IF($D183="","",COUNTIFS(WORKSHEET!P$3:P$1077,"YES*",WORKSHEET!$A$3:$A$1077,$C183,WORKSHEET!$D$3:$D$1077,$D183))</f>
        <v>1</v>
      </c>
      <c r="M183" s="63"/>
      <c r="N183" s="63"/>
      <c r="O183" s="63"/>
      <c r="P183" s="63"/>
      <c r="Q183" s="63"/>
      <c r="R183" s="63"/>
    </row>
    <row r="184" spans="1:18" ht="14.25" hidden="1">
      <c r="A184" s="42">
        <f t="shared" si="56"/>
        <v>11</v>
      </c>
      <c r="B184" s="78" t="str">
        <f t="shared" si="53"/>
        <v>Arizona_11</v>
      </c>
      <c r="C184" s="41" t="str">
        <f t="shared" si="54"/>
        <v>Q4 Shop 1</v>
      </c>
      <c r="D184" s="41" t="str">
        <f>IF(A184="","",VLOOKUP($B184,KEY!$B$6:$D$74,3,FALSE))</f>
        <v>Mercedes-Benz of North Scottsdale</v>
      </c>
      <c r="E184" s="53" t="str">
        <f>IFERROR(VLOOKUP($D184,KEY!$K$6:$M$55,3,FALSE),"")</f>
        <v/>
      </c>
      <c r="F184" s="67">
        <f>IF($D184="","",SUMIFS(WORKSHEET!H$3:H$1077,WORKSHEET!$A$3:$A$1077,$C184,WORKSHEET!$D$3:$D$1077,$D184))</f>
        <v>4</v>
      </c>
      <c r="G184" s="67">
        <f>IF($D184="","",SUMIFS(WORKSHEET!I$3:I$1077,WORKSHEET!$A$3:$A$1077,$C184,WORKSHEET!$D$3:$D$1077,$D184))</f>
        <v>4</v>
      </c>
      <c r="H184" s="63">
        <f t="shared" si="55"/>
        <v>1</v>
      </c>
      <c r="I184" s="63">
        <f>IF($D184="","",COUNTIFS(WORKSHEET!M$3:M$1077,"YES*",WORKSHEET!$A$3:$A$1077,$C184,WORKSHEET!$D$3:$D$1077,$D184))</f>
        <v>1</v>
      </c>
      <c r="J184" s="63">
        <f>IF($D184="","",COUNTIFS(WORKSHEET!N$3:N$1077,"YES*",WORKSHEET!$A$3:$A$1077,$C184,WORKSHEET!$D$3:$D$1077,$D184))</f>
        <v>1</v>
      </c>
      <c r="K184" s="63">
        <f>IF($D184="","",COUNTIFS(WORKSHEET!O$3:O$1077,"YES*",WORKSHEET!$A$3:$A$1077,$C184,WORKSHEET!$D$3:$D$1077,$D184))</f>
        <v>1</v>
      </c>
      <c r="L184" s="63">
        <f>IF($D184="","",COUNTIFS(WORKSHEET!P$3:P$1077,"YES*",WORKSHEET!$A$3:$A$1077,$C184,WORKSHEET!$D$3:$D$1077,$D184))</f>
        <v>1</v>
      </c>
      <c r="M184" s="63"/>
      <c r="N184" s="63"/>
      <c r="O184" s="63"/>
      <c r="P184" s="63"/>
      <c r="Q184" s="63"/>
      <c r="R184" s="63"/>
    </row>
    <row r="185" spans="1:18" ht="14.25" hidden="1">
      <c r="A185" s="42">
        <f t="shared" si="56"/>
        <v>12</v>
      </c>
      <c r="B185" s="78" t="str">
        <f t="shared" si="53"/>
        <v>Arizona_12</v>
      </c>
      <c r="C185" s="41" t="str">
        <f t="shared" si="54"/>
        <v>Q4 Shop 1</v>
      </c>
      <c r="D185" s="41" t="str">
        <f>IF(A185="","",VLOOKUP($B185,KEY!$B$6:$D$74,3,FALSE))</f>
        <v>MINI North Scottsdale</v>
      </c>
      <c r="E185" s="53" t="str">
        <f>IFERROR(VLOOKUP($D185,KEY!$K$6:$M$55,3,FALSE),"")</f>
        <v/>
      </c>
      <c r="F185" s="67">
        <f>IF($D185="","",SUMIFS(WORKSHEET!H$3:H$1077,WORKSHEET!$A$3:$A$1077,$C185,WORKSHEET!$D$3:$D$1077,$D185))</f>
        <v>4</v>
      </c>
      <c r="G185" s="67">
        <f>IF($D185="","",SUMIFS(WORKSHEET!I$3:I$1077,WORKSHEET!$A$3:$A$1077,$C185,WORKSHEET!$D$3:$D$1077,$D185))</f>
        <v>4</v>
      </c>
      <c r="H185" s="63">
        <f t="shared" si="55"/>
        <v>1</v>
      </c>
      <c r="I185" s="63">
        <f>IF($D185="","",COUNTIFS(WORKSHEET!M$3:M$1077,"YES*",WORKSHEET!$A$3:$A$1077,$C185,WORKSHEET!$D$3:$D$1077,$D185))</f>
        <v>1</v>
      </c>
      <c r="J185" s="63">
        <f>IF($D185="","",COUNTIFS(WORKSHEET!N$3:N$1077,"YES*",WORKSHEET!$A$3:$A$1077,$C185,WORKSHEET!$D$3:$D$1077,$D185))</f>
        <v>1</v>
      </c>
      <c r="K185" s="63">
        <f>IF($D185="","",COUNTIFS(WORKSHEET!O$3:O$1077,"YES*",WORKSHEET!$A$3:$A$1077,$C185,WORKSHEET!$D$3:$D$1077,$D185))</f>
        <v>1</v>
      </c>
      <c r="L185" s="63">
        <f>IF($D185="","",COUNTIFS(WORKSHEET!P$3:P$1077,"YES*",WORKSHEET!$A$3:$A$1077,$C185,WORKSHEET!$D$3:$D$1077,$D185))</f>
        <v>1</v>
      </c>
      <c r="M185" s="63"/>
      <c r="N185" s="63"/>
      <c r="O185" s="63"/>
      <c r="P185" s="63"/>
      <c r="Q185" s="63"/>
      <c r="R185" s="63"/>
    </row>
    <row r="186" spans="1:18" ht="14.25" hidden="1">
      <c r="A186" s="42">
        <f t="shared" si="56"/>
        <v>13</v>
      </c>
      <c r="B186" s="78" t="str">
        <f t="shared" si="53"/>
        <v>Arizona_13</v>
      </c>
      <c r="C186" s="41" t="str">
        <f t="shared" si="54"/>
        <v>Q4 Shop 1</v>
      </c>
      <c r="D186" s="41" t="str">
        <f>IF(A186="","",VLOOKUP($B186,KEY!$B$6:$D$74,3,FALSE))</f>
        <v>MINI of Tempe</v>
      </c>
      <c r="E186" s="53" t="str">
        <f>IFERROR(VLOOKUP($D186,KEY!$K$6:$M$55,3,FALSE),"")</f>
        <v/>
      </c>
      <c r="F186" s="67">
        <f>IF($D186="","",SUMIFS(WORKSHEET!H$3:H$1077,WORKSHEET!$A$3:$A$1077,$C186,WORKSHEET!$D$3:$D$1077,$D186))</f>
        <v>4</v>
      </c>
      <c r="G186" s="67">
        <f>IF($D186="","",SUMIFS(WORKSHEET!I$3:I$1077,WORKSHEET!$A$3:$A$1077,$C186,WORKSHEET!$D$3:$D$1077,$D186))</f>
        <v>4</v>
      </c>
      <c r="H186" s="63">
        <f t="shared" si="55"/>
        <v>1</v>
      </c>
      <c r="I186" s="63">
        <f>IF($D186="","",COUNTIFS(WORKSHEET!M$3:M$1077,"YES*",WORKSHEET!$A$3:$A$1077,$C186,WORKSHEET!$D$3:$D$1077,$D186))</f>
        <v>1</v>
      </c>
      <c r="J186" s="63">
        <f>IF($D186="","",COUNTIFS(WORKSHEET!N$3:N$1077,"YES*",WORKSHEET!$A$3:$A$1077,$C186,WORKSHEET!$D$3:$D$1077,$D186))</f>
        <v>1</v>
      </c>
      <c r="K186" s="63">
        <f>IF($D186="","",COUNTIFS(WORKSHEET!O$3:O$1077,"YES*",WORKSHEET!$A$3:$A$1077,$C186,WORKSHEET!$D$3:$D$1077,$D186))</f>
        <v>1</v>
      </c>
      <c r="L186" s="63">
        <f>IF($D186="","",COUNTIFS(WORKSHEET!P$3:P$1077,"YES*",WORKSHEET!$A$3:$A$1077,$C186,WORKSHEET!$D$3:$D$1077,$D186))</f>
        <v>1</v>
      </c>
      <c r="M186" s="63"/>
      <c r="N186" s="63"/>
      <c r="O186" s="63"/>
      <c r="P186" s="63"/>
      <c r="Q186" s="63"/>
      <c r="R186" s="63"/>
    </row>
    <row r="187" spans="1:18" ht="14.25" hidden="1">
      <c r="A187" s="42">
        <f t="shared" si="56"/>
        <v>14</v>
      </c>
      <c r="B187" s="78" t="str">
        <f t="shared" si="53"/>
        <v>Arizona_14</v>
      </c>
      <c r="C187" s="41" t="str">
        <f t="shared" si="54"/>
        <v>Q4 Shop 1</v>
      </c>
      <c r="D187" s="41" t="str">
        <f>IF(A187="","",VLOOKUP($B187,KEY!$B$6:$D$74,3,FALSE))</f>
        <v>Porsche North Scottsdale</v>
      </c>
      <c r="E187" s="53" t="str">
        <f>IFERROR(VLOOKUP($D187,KEY!$K$6:$M$55,3,FALSE),"")</f>
        <v/>
      </c>
      <c r="F187" s="67">
        <f>IF($D187="","",SUMIFS(WORKSHEET!H$3:H$1077,WORKSHEET!$A$3:$A$1077,$C187,WORKSHEET!$D$3:$D$1077,$D187))</f>
        <v>4</v>
      </c>
      <c r="G187" s="67">
        <f>IF($D187="","",SUMIFS(WORKSHEET!I$3:I$1077,WORKSHEET!$A$3:$A$1077,$C187,WORKSHEET!$D$3:$D$1077,$D187))</f>
        <v>3</v>
      </c>
      <c r="H187" s="63">
        <f t="shared" si="55"/>
        <v>0.75</v>
      </c>
      <c r="I187" s="63">
        <f>IF($D187="","",COUNTIFS(WORKSHEET!M$3:M$1077,"YES*",WORKSHEET!$A$3:$A$1077,$C187,WORKSHEET!$D$3:$D$1077,$D187))</f>
        <v>1</v>
      </c>
      <c r="J187" s="63">
        <f>IF($D187="","",COUNTIFS(WORKSHEET!N$3:N$1077,"YES*",WORKSHEET!$A$3:$A$1077,$C187,WORKSHEET!$D$3:$D$1077,$D187))</f>
        <v>0</v>
      </c>
      <c r="K187" s="63">
        <f>IF($D187="","",COUNTIFS(WORKSHEET!O$3:O$1077,"YES*",WORKSHEET!$A$3:$A$1077,$C187,WORKSHEET!$D$3:$D$1077,$D187))</f>
        <v>1</v>
      </c>
      <c r="L187" s="63">
        <f>IF($D187="","",COUNTIFS(WORKSHEET!P$3:P$1077,"YES*",WORKSHEET!$A$3:$A$1077,$C187,WORKSHEET!$D$3:$D$1077,$D187))</f>
        <v>1</v>
      </c>
      <c r="M187" s="63"/>
      <c r="N187" s="63"/>
      <c r="O187" s="63"/>
      <c r="P187" s="63"/>
      <c r="Q187" s="63"/>
      <c r="R187" s="63"/>
    </row>
    <row r="188" spans="1:18" ht="14.25" hidden="1">
      <c r="A188" s="42">
        <f t="shared" si="56"/>
        <v>15</v>
      </c>
      <c r="B188" s="78" t="str">
        <f t="shared" si="53"/>
        <v>Arizona_15</v>
      </c>
      <c r="C188" s="41" t="str">
        <f t="shared" si="54"/>
        <v>Q4 Shop 1</v>
      </c>
      <c r="D188" s="41" t="str">
        <f>IF(A188="","",VLOOKUP($B188,KEY!$B$6:$D$74,3,FALSE))</f>
        <v>Scottsdale Ferrari Maserati</v>
      </c>
      <c r="E188" s="53" t="str">
        <f>IFERROR(VLOOKUP($D188,KEY!$K$6:$M$55,3,FALSE),"")</f>
        <v/>
      </c>
      <c r="F188" s="67">
        <f>IF($D188="","",SUMIFS(WORKSHEET!H$3:H$1077,WORKSHEET!$A$3:$A$1077,$C188,WORKSHEET!$D$3:$D$1077,$D188))</f>
        <v>4</v>
      </c>
      <c r="G188" s="67">
        <f>IF($D188="","",SUMIFS(WORKSHEET!I$3:I$1077,WORKSHEET!$A$3:$A$1077,$C188,WORKSHEET!$D$3:$D$1077,$D188))</f>
        <v>0</v>
      </c>
      <c r="H188" s="63">
        <f t="shared" si="55"/>
        <v>0</v>
      </c>
      <c r="I188" s="63">
        <f>IF($D188="","",COUNTIFS(WORKSHEET!M$3:M$1077,"YES*",WORKSHEET!$A$3:$A$1077,$C188,WORKSHEET!$D$3:$D$1077,$D188))</f>
        <v>0</v>
      </c>
      <c r="J188" s="63">
        <f>IF($D188="","",COUNTIFS(WORKSHEET!N$3:N$1077,"YES*",WORKSHEET!$A$3:$A$1077,$C188,WORKSHEET!$D$3:$D$1077,$D188))</f>
        <v>0</v>
      </c>
      <c r="K188" s="63">
        <f>IF($D188="","",COUNTIFS(WORKSHEET!O$3:O$1077,"YES*",WORKSHEET!$A$3:$A$1077,$C188,WORKSHEET!$D$3:$D$1077,$D188))</f>
        <v>0</v>
      </c>
      <c r="L188" s="63">
        <f>IF($D188="","",COUNTIFS(WORKSHEET!P$3:P$1077,"YES*",WORKSHEET!$A$3:$A$1077,$C188,WORKSHEET!$D$3:$D$1077,$D188))</f>
        <v>0</v>
      </c>
      <c r="M188" s="63"/>
      <c r="N188" s="63"/>
      <c r="O188" s="63"/>
      <c r="P188" s="63"/>
      <c r="Q188" s="63"/>
      <c r="R188" s="63"/>
    </row>
    <row r="189" spans="1:18" ht="14.25" hidden="1">
      <c r="A189" s="42">
        <f t="shared" si="56"/>
        <v>16</v>
      </c>
      <c r="B189" s="78" t="str">
        <f t="shared" si="53"/>
        <v>Arizona_16</v>
      </c>
      <c r="C189" s="41" t="str">
        <f t="shared" si="54"/>
        <v>Q4 Shop 1</v>
      </c>
      <c r="D189" s="41" t="str">
        <f>IF(A189="","",VLOOKUP($B189,KEY!$B$6:$D$74,3,FALSE))</f>
        <v>Tempe Honda</v>
      </c>
      <c r="E189" s="53" t="str">
        <f>IFERROR(VLOOKUP($D189,KEY!$K$6:$M$55,3,FALSE),"")</f>
        <v/>
      </c>
      <c r="F189" s="67">
        <f>IF($D189="","",SUMIFS(WORKSHEET!H$3:H$1077,WORKSHEET!$A$3:$A$1077,$C189,WORKSHEET!$D$3:$D$1077,$D189))</f>
        <v>4</v>
      </c>
      <c r="G189" s="67">
        <f>IF($D189="","",SUMIFS(WORKSHEET!I$3:I$1077,WORKSHEET!$A$3:$A$1077,$C189,WORKSHEET!$D$3:$D$1077,$D189))</f>
        <v>4</v>
      </c>
      <c r="H189" s="63">
        <f t="shared" si="55"/>
        <v>1</v>
      </c>
      <c r="I189" s="63">
        <f>IF($D189="","",COUNTIFS(WORKSHEET!M$3:M$1077,"YES*",WORKSHEET!$A$3:$A$1077,$C189,WORKSHEET!$D$3:$D$1077,$D189))</f>
        <v>1</v>
      </c>
      <c r="J189" s="63">
        <f>IF($D189="","",COUNTIFS(WORKSHEET!N$3:N$1077,"YES*",WORKSHEET!$A$3:$A$1077,$C189,WORKSHEET!$D$3:$D$1077,$D189))</f>
        <v>1</v>
      </c>
      <c r="K189" s="63">
        <f>IF($D189="","",COUNTIFS(WORKSHEET!O$3:O$1077,"YES*",WORKSHEET!$A$3:$A$1077,$C189,WORKSHEET!$D$3:$D$1077,$D189))</f>
        <v>1</v>
      </c>
      <c r="L189" s="63">
        <f>IF($D189="","",COUNTIFS(WORKSHEET!P$3:P$1077,"YES*",WORKSHEET!$A$3:$A$1077,$C189,WORKSHEET!$D$3:$D$1077,$D189))</f>
        <v>1</v>
      </c>
      <c r="M189" s="63"/>
      <c r="N189" s="63"/>
      <c r="O189" s="63"/>
      <c r="P189" s="63"/>
      <c r="Q189" s="63"/>
      <c r="R189" s="63"/>
    </row>
    <row r="190" spans="1:18" ht="14.25" hidden="1">
      <c r="A190" s="42">
        <f t="shared" si="56"/>
        <v>17</v>
      </c>
      <c r="B190" s="78" t="str">
        <f t="shared" si="53"/>
        <v>Arizona_17</v>
      </c>
      <c r="C190" s="41" t="str">
        <f t="shared" si="54"/>
        <v>Q4 Shop 1</v>
      </c>
      <c r="D190" s="41" t="str">
        <f>IF(A190="","",VLOOKUP($B190,KEY!$B$6:$D$74,3,FALSE))</f>
        <v>Toyota of Surprise</v>
      </c>
      <c r="E190" s="53" t="str">
        <f>IFERROR(VLOOKUP($D190,KEY!$K$6:$M$55,3,FALSE),"")</f>
        <v/>
      </c>
      <c r="F190" s="67">
        <f>IF($D190="","",SUMIFS(WORKSHEET!H$3:H$1077,WORKSHEET!$A$3:$A$1077,$C190,WORKSHEET!$D$3:$D$1077,$D190))</f>
        <v>4</v>
      </c>
      <c r="G190" s="67">
        <f>IF($D190="","",SUMIFS(WORKSHEET!I$3:I$1077,WORKSHEET!$A$3:$A$1077,$C190,WORKSHEET!$D$3:$D$1077,$D190))</f>
        <v>4</v>
      </c>
      <c r="H190" s="63">
        <f t="shared" si="55"/>
        <v>1</v>
      </c>
      <c r="I190" s="63">
        <f>IF($D190="","",COUNTIFS(WORKSHEET!M$3:M$1077,"YES*",WORKSHEET!$A$3:$A$1077,$C190,WORKSHEET!$D$3:$D$1077,$D190))</f>
        <v>1</v>
      </c>
      <c r="J190" s="63">
        <f>IF($D190="","",COUNTIFS(WORKSHEET!N$3:N$1077,"YES*",WORKSHEET!$A$3:$A$1077,$C190,WORKSHEET!$D$3:$D$1077,$D190))</f>
        <v>1</v>
      </c>
      <c r="K190" s="63">
        <f>IF($D190="","",COUNTIFS(WORKSHEET!O$3:O$1077,"YES*",WORKSHEET!$A$3:$A$1077,$C190,WORKSHEET!$D$3:$D$1077,$D190))</f>
        <v>1</v>
      </c>
      <c r="L190" s="63">
        <f>IF($D190="","",COUNTIFS(WORKSHEET!P$3:P$1077,"YES*",WORKSHEET!$A$3:$A$1077,$C190,WORKSHEET!$D$3:$D$1077,$D190))</f>
        <v>1</v>
      </c>
      <c r="M190" s="63"/>
      <c r="N190" s="63"/>
      <c r="O190" s="63"/>
      <c r="P190" s="63"/>
      <c r="Q190" s="63"/>
      <c r="R190" s="63"/>
    </row>
    <row r="191" spans="1:18" ht="14.25" hidden="1">
      <c r="A191" s="42">
        <f t="shared" si="56"/>
        <v>18</v>
      </c>
      <c r="B191" s="78" t="str">
        <f t="shared" si="53"/>
        <v>Arizona_18</v>
      </c>
      <c r="C191" s="41" t="str">
        <f t="shared" si="54"/>
        <v>Q4 Shop 1</v>
      </c>
      <c r="D191" s="41" t="str">
        <f>IF(A191="","",VLOOKUP($B191,KEY!$B$6:$D$74,3,FALSE))</f>
        <v>Volkswagen North Scottsdale</v>
      </c>
      <c r="E191" s="53" t="str">
        <f>IFERROR(VLOOKUP($D191,KEY!$K$6:$M$55,3,FALSE),"")</f>
        <v/>
      </c>
      <c r="F191" s="67">
        <f>IF($D191="","",SUMIFS(WORKSHEET!H$3:H$1077,WORKSHEET!$A$3:$A$1077,$C191,WORKSHEET!$D$3:$D$1077,$D191))</f>
        <v>4</v>
      </c>
      <c r="G191" s="67">
        <f>IF($D191="","",SUMIFS(WORKSHEET!I$3:I$1077,WORKSHEET!$A$3:$A$1077,$C191,WORKSHEET!$D$3:$D$1077,$D191))</f>
        <v>4</v>
      </c>
      <c r="H191" s="63">
        <f t="shared" si="55"/>
        <v>1</v>
      </c>
      <c r="I191" s="63">
        <f>IF($D191="","",COUNTIFS(WORKSHEET!M$3:M$1077,"YES*",WORKSHEET!$A$3:$A$1077,$C191,WORKSHEET!$D$3:$D$1077,$D191))</f>
        <v>1</v>
      </c>
      <c r="J191" s="63">
        <f>IF($D191="","",COUNTIFS(WORKSHEET!N$3:N$1077,"YES*",WORKSHEET!$A$3:$A$1077,$C191,WORKSHEET!$D$3:$D$1077,$D191))</f>
        <v>1</v>
      </c>
      <c r="K191" s="63">
        <f>IF($D191="","",COUNTIFS(WORKSHEET!O$3:O$1077,"YES*",WORKSHEET!$A$3:$A$1077,$C191,WORKSHEET!$D$3:$D$1077,$D191))</f>
        <v>1</v>
      </c>
      <c r="L191" s="63">
        <f>IF($D191="","",COUNTIFS(WORKSHEET!P$3:P$1077,"YES*",WORKSHEET!$A$3:$A$1077,$C191,WORKSHEET!$D$3:$D$1077,$D191))</f>
        <v>1</v>
      </c>
      <c r="M191" s="63"/>
      <c r="N191" s="63"/>
      <c r="O191" s="63"/>
      <c r="P191" s="63"/>
      <c r="Q191" s="63"/>
      <c r="R191" s="63"/>
    </row>
    <row r="192" spans="1:18" ht="14.25" hidden="1">
      <c r="A192" s="42" t="str">
        <f t="shared" si="56"/>
        <v/>
      </c>
      <c r="B192" s="78" t="str">
        <f t="shared" si="53"/>
        <v/>
      </c>
      <c r="C192" s="41" t="str">
        <f t="shared" si="54"/>
        <v>Q4 Shop 1</v>
      </c>
      <c r="D192" s="41" t="str">
        <f>IF(A192="","",VLOOKUP($B192,KEY!$B$6:$D$74,3,FALSE))</f>
        <v/>
      </c>
      <c r="E192" s="53" t="str">
        <f>IFERROR(VLOOKUP($D192,KEY!$K$6:$M$55,3,FALSE),"")</f>
        <v/>
      </c>
      <c r="F192" s="67" t="str">
        <f>IF($D192="","",SUMIFS(WORKSHEET!H$3:H$1077,WORKSHEET!$A$3:$A$1077,$C192,WORKSHEET!$D$3:$D$1077,$D192))</f>
        <v/>
      </c>
      <c r="G192" s="67" t="str">
        <f>IF($D192="","",SUMIFS(WORKSHEET!I$3:I$1077,WORKSHEET!$A$3:$A$1077,$C192,WORKSHEET!$D$3:$D$1077,$D192))</f>
        <v/>
      </c>
      <c r="H192" s="63" t="str">
        <f t="shared" si="55"/>
        <v/>
      </c>
      <c r="I192" s="63" t="str">
        <f>IF($D192="","",COUNTIFS(WORKSHEET!M$3:M$1077,"YES*",WORKSHEET!$A$3:$A$1077,$C192,WORKSHEET!$D$3:$D$1077,$D192))</f>
        <v/>
      </c>
      <c r="J192" s="63" t="str">
        <f>IF($D192="","",COUNTIFS(WORKSHEET!N$3:N$1077,"YES*",WORKSHEET!$A$3:$A$1077,$C192,WORKSHEET!$D$3:$D$1077,$D192))</f>
        <v/>
      </c>
      <c r="K192" s="63" t="str">
        <f>IF($D192="","",COUNTIFS(WORKSHEET!O$3:O$1077,"YES*",WORKSHEET!$A$3:$A$1077,$C192,WORKSHEET!$D$3:$D$1077,$D192))</f>
        <v/>
      </c>
      <c r="L192" s="63" t="str">
        <f>IF($D192="","",COUNTIFS(WORKSHEET!P$3:P$1077,"YES*",WORKSHEET!$A$3:$A$1077,$C192,WORKSHEET!$D$3:$D$1077,$D192))</f>
        <v/>
      </c>
      <c r="M192" s="63"/>
      <c r="N192" s="63"/>
      <c r="O192" s="63"/>
      <c r="P192" s="63"/>
      <c r="Q192" s="63"/>
      <c r="R192" s="63"/>
    </row>
    <row r="193" spans="1:18" ht="14.25" hidden="1">
      <c r="A193" s="42" t="str">
        <f t="shared" si="56"/>
        <v/>
      </c>
      <c r="B193" s="78" t="str">
        <f t="shared" si="53"/>
        <v/>
      </c>
      <c r="C193" s="41" t="str">
        <f t="shared" si="54"/>
        <v>Q4 Shop 1</v>
      </c>
      <c r="D193" s="41" t="str">
        <f>IF(A193="","",VLOOKUP($B193,KEY!$B$6:$D$74,3,FALSE))</f>
        <v/>
      </c>
      <c r="E193" s="53" t="str">
        <f>IFERROR(VLOOKUP($D193,KEY!$K$6:$M$55,3,FALSE),"")</f>
        <v/>
      </c>
      <c r="F193" s="67" t="str">
        <f>IF($D193="","",SUMIFS(WORKSHEET!H$3:H$1077,WORKSHEET!$A$3:$A$1077,$C193,WORKSHEET!$D$3:$D$1077,$D193))</f>
        <v/>
      </c>
      <c r="G193" s="67" t="str">
        <f>IF($D193="","",SUMIFS(WORKSHEET!I$3:I$1077,WORKSHEET!$A$3:$A$1077,$C193,WORKSHEET!$D$3:$D$1077,$D193))</f>
        <v/>
      </c>
      <c r="H193" s="63" t="str">
        <f t="shared" si="55"/>
        <v/>
      </c>
      <c r="I193" s="63" t="str">
        <f>IF($D193="","",COUNTIFS(WORKSHEET!M$3:M$1077,"YES*",WORKSHEET!$A$3:$A$1077,$C193,WORKSHEET!$D$3:$D$1077,$D193))</f>
        <v/>
      </c>
      <c r="J193" s="63" t="str">
        <f>IF($D193="","",COUNTIFS(WORKSHEET!N$3:N$1077,"YES*",WORKSHEET!$A$3:$A$1077,$C193,WORKSHEET!$D$3:$D$1077,$D193))</f>
        <v/>
      </c>
      <c r="K193" s="63" t="str">
        <f>IF($D193="","",COUNTIFS(WORKSHEET!O$3:O$1077,"YES*",WORKSHEET!$A$3:$A$1077,$C193,WORKSHEET!$D$3:$D$1077,$D193))</f>
        <v/>
      </c>
      <c r="L193" s="63" t="str">
        <f>IF($D193="","",COUNTIFS(WORKSHEET!P$3:P$1077,"YES*",WORKSHEET!$A$3:$A$1077,$C193,WORKSHEET!$D$3:$D$1077,$D193))</f>
        <v/>
      </c>
      <c r="M193" s="63"/>
      <c r="N193" s="63"/>
      <c r="O193" s="63"/>
      <c r="P193" s="63"/>
      <c r="Q193" s="63"/>
      <c r="R193" s="63"/>
    </row>
    <row r="194" spans="1:18" ht="14.25" hidden="1">
      <c r="A194" s="42" t="str">
        <f t="shared" si="56"/>
        <v/>
      </c>
      <c r="B194" s="78" t="str">
        <f t="shared" si="53"/>
        <v/>
      </c>
      <c r="C194" s="41" t="str">
        <f t="shared" si="54"/>
        <v>Q4 Shop 1</v>
      </c>
      <c r="D194" s="41" t="str">
        <f>IF(A194="","",VLOOKUP($B194,KEY!$B$6:$D$74,3,FALSE))</f>
        <v/>
      </c>
      <c r="E194" s="53" t="str">
        <f>IFERROR(VLOOKUP($D194,KEY!$K$6:$M$55,3,FALSE),"")</f>
        <v/>
      </c>
      <c r="F194" s="67" t="str">
        <f>IF($D194="","",SUMIFS(WORKSHEET!H$3:H$1077,WORKSHEET!$A$3:$A$1077,$C194,WORKSHEET!$D$3:$D$1077,$D194))</f>
        <v/>
      </c>
      <c r="G194" s="67" t="str">
        <f>IF($D194="","",SUMIFS(WORKSHEET!I$3:I$1077,WORKSHEET!$A$3:$A$1077,$C194,WORKSHEET!$D$3:$D$1077,$D194))</f>
        <v/>
      </c>
      <c r="H194" s="63" t="str">
        <f t="shared" si="55"/>
        <v/>
      </c>
      <c r="I194" s="63" t="str">
        <f>IF($D194="","",COUNTIFS(WORKSHEET!M$3:M$1077,"YES*",WORKSHEET!$A$3:$A$1077,$C194,WORKSHEET!$D$3:$D$1077,$D194))</f>
        <v/>
      </c>
      <c r="J194" s="63" t="str">
        <f>IF($D194="","",COUNTIFS(WORKSHEET!N$3:N$1077,"YES*",WORKSHEET!$A$3:$A$1077,$C194,WORKSHEET!$D$3:$D$1077,$D194))</f>
        <v/>
      </c>
      <c r="K194" s="63" t="str">
        <f>IF($D194="","",COUNTIFS(WORKSHEET!O$3:O$1077,"YES*",WORKSHEET!$A$3:$A$1077,$C194,WORKSHEET!$D$3:$D$1077,$D194))</f>
        <v/>
      </c>
      <c r="L194" s="63" t="str">
        <f>IF($D194="","",COUNTIFS(WORKSHEET!P$3:P$1077,"YES*",WORKSHEET!$A$3:$A$1077,$C194,WORKSHEET!$D$3:$D$1077,$D194))</f>
        <v/>
      </c>
      <c r="M194" s="63"/>
      <c r="N194" s="63"/>
      <c r="O194" s="63"/>
      <c r="P194" s="63"/>
      <c r="Q194" s="63"/>
      <c r="R194" s="63"/>
    </row>
    <row r="195" spans="1:18" ht="14.25" hidden="1">
      <c r="A195" s="42" t="str">
        <f t="shared" si="56"/>
        <v/>
      </c>
      <c r="B195" s="78" t="str">
        <f t="shared" si="53"/>
        <v/>
      </c>
      <c r="C195" s="41" t="str">
        <f t="shared" si="54"/>
        <v>Q4 Shop 1</v>
      </c>
      <c r="D195" s="41" t="str">
        <f>IF(A195="","",VLOOKUP($B195,KEY!$B$6:$D$74,3,FALSE))</f>
        <v/>
      </c>
      <c r="E195" s="53" t="str">
        <f>IFERROR(VLOOKUP($D195,KEY!$K$6:$M$55,3,FALSE),"")</f>
        <v/>
      </c>
      <c r="F195" s="67" t="str">
        <f>IF($D195="","",SUMIFS(WORKSHEET!H$3:H$1077,WORKSHEET!$A$3:$A$1077,$C195,WORKSHEET!$D$3:$D$1077,$D195))</f>
        <v/>
      </c>
      <c r="G195" s="67" t="str">
        <f>IF($D195="","",SUMIFS(WORKSHEET!I$3:I$1077,WORKSHEET!$A$3:$A$1077,$C195,WORKSHEET!$D$3:$D$1077,$D195))</f>
        <v/>
      </c>
      <c r="H195" s="63" t="str">
        <f t="shared" si="55"/>
        <v/>
      </c>
      <c r="I195" s="63" t="str">
        <f>IF($D195="","",COUNTIFS(WORKSHEET!M$3:M$1077,"YES*",WORKSHEET!$A$3:$A$1077,$C195,WORKSHEET!$D$3:$D$1077,$D195))</f>
        <v/>
      </c>
      <c r="J195" s="63" t="str">
        <f>IF($D195="","",COUNTIFS(WORKSHEET!N$3:N$1077,"YES*",WORKSHEET!$A$3:$A$1077,$C195,WORKSHEET!$D$3:$D$1077,$D195))</f>
        <v/>
      </c>
      <c r="K195" s="63" t="str">
        <f>IF($D195="","",COUNTIFS(WORKSHEET!O$3:O$1077,"YES*",WORKSHEET!$A$3:$A$1077,$C195,WORKSHEET!$D$3:$D$1077,$D195))</f>
        <v/>
      </c>
      <c r="L195" s="63" t="str">
        <f>IF($D195="","",COUNTIFS(WORKSHEET!P$3:P$1077,"YES*",WORKSHEET!$A$3:$A$1077,$C195,WORKSHEET!$D$3:$D$1077,$D195))</f>
        <v/>
      </c>
      <c r="M195" s="63"/>
      <c r="N195" s="63"/>
      <c r="O195" s="63"/>
      <c r="P195" s="63"/>
      <c r="Q195" s="63"/>
      <c r="R195" s="63"/>
    </row>
    <row r="196" spans="1:18" ht="14.25" hidden="1">
      <c r="A196" s="42" t="str">
        <f t="shared" si="56"/>
        <v/>
      </c>
      <c r="B196" s="78" t="str">
        <f t="shared" si="53"/>
        <v/>
      </c>
      <c r="C196" s="41" t="str">
        <f t="shared" si="54"/>
        <v>Q4 Shop 1</v>
      </c>
      <c r="D196" s="41" t="str">
        <f>IF(A196="","",VLOOKUP($B196,KEY!$B$6:$D$74,3,FALSE))</f>
        <v/>
      </c>
      <c r="E196" s="53" t="str">
        <f>IFERROR(VLOOKUP($D196,KEY!$K$6:$M$55,3,FALSE),"")</f>
        <v/>
      </c>
      <c r="F196" s="67" t="str">
        <f>IF($D196="","",SUMIFS(WORKSHEET!H$3:H$1077,WORKSHEET!$A$3:$A$1077,$C196,WORKSHEET!$D$3:$D$1077,$D196))</f>
        <v/>
      </c>
      <c r="G196" s="67" t="str">
        <f>IF($D196="","",SUMIFS(WORKSHEET!I$3:I$1077,WORKSHEET!$A$3:$A$1077,$C196,WORKSHEET!$D$3:$D$1077,$D196))</f>
        <v/>
      </c>
      <c r="H196" s="63" t="str">
        <f t="shared" si="55"/>
        <v/>
      </c>
      <c r="I196" s="63" t="str">
        <f>IF($D196="","",COUNTIFS(WORKSHEET!M$3:M$1077,"YES*",WORKSHEET!$A$3:$A$1077,$C196,WORKSHEET!$D$3:$D$1077,$D196))</f>
        <v/>
      </c>
      <c r="J196" s="63" t="str">
        <f>IF($D196="","",COUNTIFS(WORKSHEET!N$3:N$1077,"YES*",WORKSHEET!$A$3:$A$1077,$C196,WORKSHEET!$D$3:$D$1077,$D196))</f>
        <v/>
      </c>
      <c r="K196" s="63" t="str">
        <f>IF($D196="","",COUNTIFS(WORKSHEET!O$3:O$1077,"YES*",WORKSHEET!$A$3:$A$1077,$C196,WORKSHEET!$D$3:$D$1077,$D196))</f>
        <v/>
      </c>
      <c r="L196" s="63" t="str">
        <f>IF($D196="","",COUNTIFS(WORKSHEET!P$3:P$1077,"YES*",WORKSHEET!$A$3:$A$1077,$C196,WORKSHEET!$D$3:$D$1077,$D196))</f>
        <v/>
      </c>
      <c r="M196" s="63"/>
      <c r="N196" s="63"/>
      <c r="O196" s="63"/>
      <c r="P196" s="63"/>
      <c r="Q196" s="63"/>
      <c r="R196" s="63"/>
    </row>
    <row r="197" spans="1:18" ht="14.25" hidden="1">
      <c r="A197" s="42" t="str">
        <f t="shared" si="56"/>
        <v/>
      </c>
      <c r="B197" s="78" t="str">
        <f t="shared" si="53"/>
        <v/>
      </c>
      <c r="C197" s="41" t="str">
        <f t="shared" si="54"/>
        <v>Q4 Shop 1</v>
      </c>
      <c r="D197" s="41" t="str">
        <f>IF(A197="","",VLOOKUP($B197,KEY!$B$6:$D$74,3,FALSE))</f>
        <v/>
      </c>
      <c r="E197" s="53" t="str">
        <f>IFERROR(VLOOKUP($D197,KEY!$K$6:$M$55,3,FALSE),"")</f>
        <v/>
      </c>
      <c r="F197" s="67" t="str">
        <f>IF($D197="","",SUMIFS(WORKSHEET!H$3:H$1077,WORKSHEET!$A$3:$A$1077,$C197,WORKSHEET!$D$3:$D$1077,$D197))</f>
        <v/>
      </c>
      <c r="G197" s="67" t="str">
        <f>IF($D197="","",SUMIFS(WORKSHEET!I$3:I$1077,WORKSHEET!$A$3:$A$1077,$C197,WORKSHEET!$D$3:$D$1077,$D197))</f>
        <v/>
      </c>
      <c r="H197" s="63" t="str">
        <f t="shared" si="55"/>
        <v/>
      </c>
      <c r="I197" s="63" t="str">
        <f>IF($D197="","",COUNTIFS(WORKSHEET!M$3:M$1077,"YES*",WORKSHEET!$A$3:$A$1077,$C197,WORKSHEET!$D$3:$D$1077,$D197))</f>
        <v/>
      </c>
      <c r="J197" s="63" t="str">
        <f>IF($D197="","",COUNTIFS(WORKSHEET!N$3:N$1077,"YES*",WORKSHEET!$A$3:$A$1077,$C197,WORKSHEET!$D$3:$D$1077,$D197))</f>
        <v/>
      </c>
      <c r="K197" s="63" t="str">
        <f>IF($D197="","",COUNTIFS(WORKSHEET!O$3:O$1077,"YES*",WORKSHEET!$A$3:$A$1077,$C197,WORKSHEET!$D$3:$D$1077,$D197))</f>
        <v/>
      </c>
      <c r="L197" s="63" t="str">
        <f>IF($D197="","",COUNTIFS(WORKSHEET!P$3:P$1077,"YES*",WORKSHEET!$A$3:$A$1077,$C197,WORKSHEET!$D$3:$D$1077,$D197))</f>
        <v/>
      </c>
      <c r="M197" s="63"/>
      <c r="N197" s="63"/>
      <c r="O197" s="63"/>
      <c r="P197" s="63"/>
      <c r="Q197" s="63"/>
      <c r="R197" s="63"/>
    </row>
    <row r="198" spans="1:18" ht="14.25" hidden="1">
      <c r="A198" s="42" t="str">
        <f t="shared" si="56"/>
        <v/>
      </c>
      <c r="B198" s="78" t="str">
        <f t="shared" si="53"/>
        <v/>
      </c>
      <c r="C198" s="41" t="str">
        <f t="shared" si="54"/>
        <v>Q4 Shop 1</v>
      </c>
      <c r="D198" s="41" t="str">
        <f>IF(A198="","",VLOOKUP($B198,KEY!$B$6:$D$74,3,FALSE))</f>
        <v/>
      </c>
      <c r="E198" s="53" t="str">
        <f>IFERROR(VLOOKUP($D198,KEY!$K$6:$M$55,3,FALSE),"")</f>
        <v/>
      </c>
      <c r="F198" s="67" t="str">
        <f>IF($D198="","",SUMIFS(WORKSHEET!H$3:H$1077,WORKSHEET!$A$3:$A$1077,$C198,WORKSHEET!$D$3:$D$1077,$D198))</f>
        <v/>
      </c>
      <c r="G198" s="67" t="str">
        <f>IF($D198="","",SUMIFS(WORKSHEET!I$3:I$1077,WORKSHEET!$A$3:$A$1077,$C198,WORKSHEET!$D$3:$D$1077,$D198))</f>
        <v/>
      </c>
      <c r="H198" s="63" t="str">
        <f t="shared" si="55"/>
        <v/>
      </c>
      <c r="I198" s="63" t="str">
        <f>IF($D198="","",COUNTIFS(WORKSHEET!M$3:M$1077,"YES*",WORKSHEET!$A$3:$A$1077,$C198,WORKSHEET!$D$3:$D$1077,$D198))</f>
        <v/>
      </c>
      <c r="J198" s="63" t="str">
        <f>IF($D198="","",COUNTIFS(WORKSHEET!N$3:N$1077,"YES*",WORKSHEET!$A$3:$A$1077,$C198,WORKSHEET!$D$3:$D$1077,$D198))</f>
        <v/>
      </c>
      <c r="K198" s="63" t="str">
        <f>IF($D198="","",COUNTIFS(WORKSHEET!O$3:O$1077,"YES*",WORKSHEET!$A$3:$A$1077,$C198,WORKSHEET!$D$3:$D$1077,$D198))</f>
        <v/>
      </c>
      <c r="L198" s="63" t="str">
        <f>IF($D198="","",COUNTIFS(WORKSHEET!P$3:P$1077,"YES*",WORKSHEET!$A$3:$A$1077,$C198,WORKSHEET!$D$3:$D$1077,$D198))</f>
        <v/>
      </c>
      <c r="M198" s="63"/>
      <c r="N198" s="63"/>
      <c r="O198" s="63"/>
      <c r="P198" s="63"/>
      <c r="Q198" s="63"/>
      <c r="R198" s="63"/>
    </row>
    <row r="199" spans="1:18" s="56" customFormat="1" ht="15.75" hidden="1">
      <c r="A199" s="76" t="s">
        <v>27</v>
      </c>
      <c r="B199" s="79"/>
      <c r="C199" s="56" t="str">
        <f t="shared" si="54"/>
        <v>Q4 Shop 1</v>
      </c>
      <c r="D199" s="56" t="str">
        <f>D171</f>
        <v>Arizona</v>
      </c>
      <c r="E199" s="64">
        <f>E172</f>
        <v>0</v>
      </c>
      <c r="F199" s="68">
        <f>SUM(F174:F198)</f>
        <v>72</v>
      </c>
      <c r="G199" s="68">
        <f>SUM(G174:G198)</f>
        <v>64</v>
      </c>
      <c r="H199" s="66">
        <f t="shared" si="55"/>
        <v>0.88888888888888884</v>
      </c>
      <c r="I199" s="66">
        <f>IF($D199="","",COUNTIFS(WORKSHEET!M$3:M$1077,"YES*",WORKSHEET!$A$3:$A$1077,$C199,WORKSHEET!$E$3:$E$1077,$D199)/COUNTIFS(WORKSHEET!$A$3:$A$1077,$C199,WORKSHEET!$E$3:$E$1077,$D199))</f>
        <v>0.88888888888888884</v>
      </c>
      <c r="J199" s="66">
        <f>IF($D199="","",COUNTIFS(WORKSHEET!N$3:N$1077,"YES*",WORKSHEET!$A$3:$A$1077,$C199,WORKSHEET!$E$3:$E$1077,$D199)/COUNTIFS(WORKSHEET!$A$3:$A$1077,$C199,WORKSHEET!$E$3:$E$1077,$D199))</f>
        <v>0.77777777777777779</v>
      </c>
      <c r="K199" s="66">
        <f>IF($D199="","",COUNTIFS(WORKSHEET!O$3:O$1077,"YES*",WORKSHEET!$A$3:$A$1077,$C199,WORKSHEET!$E$3:$E$1077,$D199)/COUNTIFS(WORKSHEET!$A$3:$A$1077,$C199,WORKSHEET!$E$3:$E$1077,$D199))</f>
        <v>0.94444444444444442</v>
      </c>
      <c r="L199" s="66">
        <f>IF($D199="","",COUNTIFS(WORKSHEET!P$3:P$1077,"YES*",WORKSHEET!$A$3:$A$1077,$C199,WORKSHEET!$E$3:$E$1077,$D199)/COUNTIFS(WORKSHEET!$A$3:$A$1077,$C199,WORKSHEET!$E$3:$E$1077,$D199))</f>
        <v>0.94444444444444442</v>
      </c>
      <c r="M199" s="66"/>
      <c r="N199" s="66"/>
      <c r="O199" s="66"/>
      <c r="P199" s="66"/>
      <c r="Q199" s="66"/>
      <c r="R199" s="66"/>
    </row>
    <row r="200" spans="1:18" hidden="1"/>
    <row r="201" spans="1:18" ht="48" hidden="1" customHeight="1">
      <c r="A201" s="42">
        <v>0</v>
      </c>
      <c r="B201" s="42"/>
      <c r="C201" s="41" t="s">
        <v>21</v>
      </c>
      <c r="D201" s="41" t="s">
        <v>34</v>
      </c>
      <c r="E201" s="53" t="s">
        <v>23</v>
      </c>
      <c r="F201" s="53" t="s">
        <v>24</v>
      </c>
      <c r="G201" s="53" t="s">
        <v>25</v>
      </c>
      <c r="H201" s="53" t="s">
        <v>26</v>
      </c>
      <c r="I201" s="55" t="s">
        <v>3</v>
      </c>
      <c r="J201" s="55" t="s">
        <v>4</v>
      </c>
      <c r="K201" s="55" t="s">
        <v>5</v>
      </c>
      <c r="L201" s="55" t="s">
        <v>6</v>
      </c>
      <c r="M201" s="55"/>
      <c r="N201" s="55"/>
      <c r="O201" s="55"/>
      <c r="P201" s="55"/>
      <c r="Q201" s="55"/>
      <c r="R201" s="55"/>
    </row>
    <row r="202" spans="1:18" ht="14.25" hidden="1">
      <c r="A202" s="42">
        <v>1</v>
      </c>
      <c r="B202" s="78" t="str">
        <f>IF(A202&gt;$E$144,"",$D$144&amp;"_"&amp;A202)</f>
        <v>Arizona_1</v>
      </c>
      <c r="C202" s="71" t="str">
        <f>$C$144&amp;" Shop 2"</f>
        <v>Q4 Shop 2</v>
      </c>
      <c r="D202" s="41" t="str">
        <f>IF(A202="","",VLOOKUP($B202,KEY!$B$6:$D$74,3,FALSE))</f>
        <v>Acura North Scottsdale</v>
      </c>
      <c r="E202" s="53" t="str">
        <f>IFERROR(VLOOKUP($D202,KEY!$K$6:$M$55,3,FALSE),"")</f>
        <v/>
      </c>
      <c r="F202" s="67">
        <f>IF($D202="","",SUMIFS(WORKSHEET!H$3:H$1077,WORKSHEET!$A$3:$A$1077,$C202,WORKSHEET!$D$3:$D$1077,$D202))</f>
        <v>4</v>
      </c>
      <c r="G202" s="67">
        <f>IF($D202="","",SUMIFS(WORKSHEET!I$3:I$1077,WORKSHEET!$A$3:$A$1077,$C202,WORKSHEET!$D$3:$D$1077,$D202))</f>
        <v>4</v>
      </c>
      <c r="H202" s="63">
        <f t="shared" ref="H202:H210" si="57">IF(OR($D202="",$F202=0),"",G202/F202)</f>
        <v>1</v>
      </c>
      <c r="I202" s="63">
        <f>IF(OR($D202="",$F202=0),"",COUNTIFS(WORKSHEET!M$3:M$1077,"YES*",WORKSHEET!$A$3:$A$1077,$C202,WORKSHEET!$D$3:$D$1077,$D202))</f>
        <v>1</v>
      </c>
      <c r="J202" s="63">
        <f>IF(OR($D202="",$F202=0),"",COUNTIFS(WORKSHEET!N$3:N$1077,"YES*",WORKSHEET!$A$3:$A$1077,$C202,WORKSHEET!$D$3:$D$1077,$D202))</f>
        <v>1</v>
      </c>
      <c r="K202" s="63">
        <f>IF(OR($D202="",$F202=0),"",COUNTIFS(WORKSHEET!O$3:O$1077,"YES*",WORKSHEET!$A$3:$A$1077,$C202,WORKSHEET!$D$3:$D$1077,$D202))</f>
        <v>1</v>
      </c>
      <c r="L202" s="63">
        <f>IF(OR($D202="",$F202=0),"",COUNTIFS(WORKSHEET!P$3:P$1077,"YES*",WORKSHEET!$A$3:$A$1077,$C202,WORKSHEET!$D$3:$D$1077,$D202))</f>
        <v>1</v>
      </c>
      <c r="M202" s="63"/>
      <c r="N202" s="63"/>
      <c r="O202" s="63"/>
      <c r="P202" s="63"/>
      <c r="Q202" s="63"/>
      <c r="R202" s="63"/>
    </row>
    <row r="203" spans="1:18" ht="14.25" hidden="1">
      <c r="A203" s="42">
        <f>IF(A202="","",IF(A202&lt;$E$144,A202+1,""))</f>
        <v>2</v>
      </c>
      <c r="B203" s="78" t="str">
        <f t="shared" ref="B203:B226" si="58">IF(A203&gt;$E$144,"",$D$144&amp;"_"&amp;A203)</f>
        <v>Arizona_2</v>
      </c>
      <c r="C203" s="41" t="str">
        <f t="shared" ref="C203:C227" si="59">$C$144&amp;" Shop 2"</f>
        <v>Q4 Shop 2</v>
      </c>
      <c r="D203" s="41" t="str">
        <f>IF(A203="","",VLOOKUP($B203,KEY!$B$6:$D$74,3,FALSE))</f>
        <v>Audi Chandler</v>
      </c>
      <c r="E203" s="53" t="str">
        <f>IFERROR(VLOOKUP($D203,KEY!$K$6:$M$55,3,FALSE),"")</f>
        <v/>
      </c>
      <c r="F203" s="67">
        <f>IF($D203="","",SUMIFS(WORKSHEET!H$3:H$1077,WORKSHEET!$A$3:$A$1077,$C203,WORKSHEET!$D$3:$D$1077,$D203))</f>
        <v>4</v>
      </c>
      <c r="G203" s="67">
        <f>IF($D203="","",SUMIFS(WORKSHEET!I$3:I$1077,WORKSHEET!$A$3:$A$1077,$C203,WORKSHEET!$D$3:$D$1077,$D203))</f>
        <v>4</v>
      </c>
      <c r="H203" s="63">
        <f t="shared" si="57"/>
        <v>1</v>
      </c>
      <c r="I203" s="63">
        <f>IF(OR($D203="",$F203=0),"",COUNTIFS(WORKSHEET!M$3:M$1077,"YES*",WORKSHEET!$A$3:$A$1077,$C203,WORKSHEET!$D$3:$D$1077,$D203))</f>
        <v>1</v>
      </c>
      <c r="J203" s="63">
        <f>IF(OR($D203="",$F203=0),"",COUNTIFS(WORKSHEET!N$3:N$1077,"YES*",WORKSHEET!$A$3:$A$1077,$C203,WORKSHEET!$D$3:$D$1077,$D203))</f>
        <v>1</v>
      </c>
      <c r="K203" s="63">
        <f>IF(OR($D203="",$F203=0),"",COUNTIFS(WORKSHEET!O$3:O$1077,"YES*",WORKSHEET!$A$3:$A$1077,$C203,WORKSHEET!$D$3:$D$1077,$D203))</f>
        <v>1</v>
      </c>
      <c r="L203" s="63">
        <f>IF(OR($D203="",$F203=0),"",COUNTIFS(WORKSHEET!P$3:P$1077,"YES*",WORKSHEET!$A$3:$A$1077,$C203,WORKSHEET!$D$3:$D$1077,$D203))</f>
        <v>1</v>
      </c>
      <c r="M203" s="63"/>
      <c r="N203" s="63"/>
      <c r="O203" s="63"/>
      <c r="P203" s="63"/>
      <c r="Q203" s="63"/>
      <c r="R203" s="63"/>
    </row>
    <row r="204" spans="1:18" ht="14.25" hidden="1">
      <c r="A204" s="42">
        <f t="shared" ref="A204:A226" si="60">IF(A203="","",IF(A203&lt;$E$144,A203+1,""))</f>
        <v>3</v>
      </c>
      <c r="B204" s="78" t="str">
        <f t="shared" si="58"/>
        <v>Arizona_3</v>
      </c>
      <c r="C204" s="41" t="str">
        <f t="shared" si="59"/>
        <v>Q4 Shop 2</v>
      </c>
      <c r="D204" s="41" t="str">
        <f>IF(A204="","",VLOOKUP($B204,KEY!$B$6:$D$74,3,FALSE))</f>
        <v>Audi North Scottsdale</v>
      </c>
      <c r="E204" s="53" t="str">
        <f>IFERROR(VLOOKUP($D204,KEY!$K$6:$M$55,3,FALSE),"")</f>
        <v/>
      </c>
      <c r="F204" s="67">
        <f>IF($D204="","",SUMIFS(WORKSHEET!H$3:H$1077,WORKSHEET!$A$3:$A$1077,$C204,WORKSHEET!$D$3:$D$1077,$D204))</f>
        <v>4</v>
      </c>
      <c r="G204" s="67">
        <f>IF($D204="","",SUMIFS(WORKSHEET!I$3:I$1077,WORKSHEET!$A$3:$A$1077,$C204,WORKSHEET!$D$3:$D$1077,$D204))</f>
        <v>4</v>
      </c>
      <c r="H204" s="63">
        <f t="shared" si="57"/>
        <v>1</v>
      </c>
      <c r="I204" s="63">
        <f>IF(OR($D204="",$F204=0),"",COUNTIFS(WORKSHEET!M$3:M$1077,"YES*",WORKSHEET!$A$3:$A$1077,$C204,WORKSHEET!$D$3:$D$1077,$D204))</f>
        <v>1</v>
      </c>
      <c r="J204" s="63">
        <f>IF(OR($D204="",$F204=0),"",COUNTIFS(WORKSHEET!N$3:N$1077,"YES*",WORKSHEET!$A$3:$A$1077,$C204,WORKSHEET!$D$3:$D$1077,$D204))</f>
        <v>1</v>
      </c>
      <c r="K204" s="63">
        <f>IF(OR($D204="",$F204=0),"",COUNTIFS(WORKSHEET!O$3:O$1077,"YES*",WORKSHEET!$A$3:$A$1077,$C204,WORKSHEET!$D$3:$D$1077,$D204))</f>
        <v>1</v>
      </c>
      <c r="L204" s="63">
        <f>IF(OR($D204="",$F204=0),"",COUNTIFS(WORKSHEET!P$3:P$1077,"YES*",WORKSHEET!$A$3:$A$1077,$C204,WORKSHEET!$D$3:$D$1077,$D204))</f>
        <v>1</v>
      </c>
      <c r="M204" s="63"/>
      <c r="N204" s="63"/>
      <c r="O204" s="63"/>
      <c r="P204" s="63"/>
      <c r="Q204" s="63"/>
      <c r="R204" s="63"/>
    </row>
    <row r="205" spans="1:18" ht="14.25" hidden="1">
      <c r="A205" s="42">
        <f t="shared" si="60"/>
        <v>4</v>
      </c>
      <c r="B205" s="78" t="str">
        <f t="shared" si="58"/>
        <v>Arizona_4</v>
      </c>
      <c r="C205" s="41" t="str">
        <f t="shared" si="59"/>
        <v>Q4 Shop 2</v>
      </c>
      <c r="D205" s="41" t="str">
        <f>IF(A205="","",VLOOKUP($B205,KEY!$B$6:$D$74,3,FALSE))</f>
        <v>Bentley Scottsdale</v>
      </c>
      <c r="E205" s="53" t="str">
        <f>IFERROR(VLOOKUP($D205,KEY!$K$6:$M$55,3,FALSE),"")</f>
        <v/>
      </c>
      <c r="F205" s="67">
        <f>IF($D205="","",SUMIFS(WORKSHEET!H$3:H$1077,WORKSHEET!$A$3:$A$1077,$C205,WORKSHEET!$D$3:$D$1077,$D205))</f>
        <v>4</v>
      </c>
      <c r="G205" s="67">
        <f>IF($D205="","",SUMIFS(WORKSHEET!I$3:I$1077,WORKSHEET!$A$3:$A$1077,$C205,WORKSHEET!$D$3:$D$1077,$D205))</f>
        <v>4</v>
      </c>
      <c r="H205" s="63">
        <f t="shared" si="57"/>
        <v>1</v>
      </c>
      <c r="I205" s="63">
        <f>IF(OR($D205="",$F205=0),"",COUNTIFS(WORKSHEET!M$3:M$1077,"YES*",WORKSHEET!$A$3:$A$1077,$C205,WORKSHEET!$D$3:$D$1077,$D205))</f>
        <v>1</v>
      </c>
      <c r="J205" s="63">
        <f>IF(OR($D205="",$F205=0),"",COUNTIFS(WORKSHEET!N$3:N$1077,"YES*",WORKSHEET!$A$3:$A$1077,$C205,WORKSHEET!$D$3:$D$1077,$D205))</f>
        <v>1</v>
      </c>
      <c r="K205" s="63">
        <f>IF(OR($D205="",$F205=0),"",COUNTIFS(WORKSHEET!O$3:O$1077,"YES*",WORKSHEET!$A$3:$A$1077,$C205,WORKSHEET!$D$3:$D$1077,$D205))</f>
        <v>1</v>
      </c>
      <c r="L205" s="63">
        <f>IF(OR($D205="",$F205=0),"",COUNTIFS(WORKSHEET!P$3:P$1077,"YES*",WORKSHEET!$A$3:$A$1077,$C205,WORKSHEET!$D$3:$D$1077,$D205))</f>
        <v>1</v>
      </c>
      <c r="M205" s="63"/>
      <c r="N205" s="63"/>
      <c r="O205" s="63"/>
      <c r="P205" s="63"/>
      <c r="Q205" s="63"/>
      <c r="R205" s="63"/>
    </row>
    <row r="206" spans="1:18" ht="14.25" hidden="1">
      <c r="A206" s="42">
        <f t="shared" si="60"/>
        <v>5</v>
      </c>
      <c r="B206" s="78" t="str">
        <f t="shared" si="58"/>
        <v>Arizona_5</v>
      </c>
      <c r="C206" s="41" t="str">
        <f t="shared" si="59"/>
        <v>Q4 Shop 2</v>
      </c>
      <c r="D206" s="41" t="str">
        <f>IF(A206="","",VLOOKUP($B206,KEY!$B$6:$D$74,3,FALSE))</f>
        <v>BMW North Scottsdale</v>
      </c>
      <c r="E206" s="53" t="str">
        <f>IFERROR(VLOOKUP($D206,KEY!$K$6:$M$55,3,FALSE),"")</f>
        <v/>
      </c>
      <c r="F206" s="67">
        <f>IF($D206="","",SUMIFS(WORKSHEET!H$3:H$1077,WORKSHEET!$A$3:$A$1077,$C206,WORKSHEET!$D$3:$D$1077,$D206))</f>
        <v>4</v>
      </c>
      <c r="G206" s="67">
        <f>IF($D206="","",SUMIFS(WORKSHEET!I$3:I$1077,WORKSHEET!$A$3:$A$1077,$C206,WORKSHEET!$D$3:$D$1077,$D206))</f>
        <v>4</v>
      </c>
      <c r="H206" s="63">
        <f t="shared" si="57"/>
        <v>1</v>
      </c>
      <c r="I206" s="63">
        <f>IF(OR($D206="",$F206=0),"",COUNTIFS(WORKSHEET!M$3:M$1077,"YES*",WORKSHEET!$A$3:$A$1077,$C206,WORKSHEET!$D$3:$D$1077,$D206))</f>
        <v>1</v>
      </c>
      <c r="J206" s="63">
        <f>IF(OR($D206="",$F206=0),"",COUNTIFS(WORKSHEET!N$3:N$1077,"YES*",WORKSHEET!$A$3:$A$1077,$C206,WORKSHEET!$D$3:$D$1077,$D206))</f>
        <v>1</v>
      </c>
      <c r="K206" s="63">
        <f>IF(OR($D206="",$F206=0),"",COUNTIFS(WORKSHEET!O$3:O$1077,"YES*",WORKSHEET!$A$3:$A$1077,$C206,WORKSHEET!$D$3:$D$1077,$D206))</f>
        <v>1</v>
      </c>
      <c r="L206" s="63">
        <f>IF(OR($D206="",$F206=0),"",COUNTIFS(WORKSHEET!P$3:P$1077,"YES*",WORKSHEET!$A$3:$A$1077,$C206,WORKSHEET!$D$3:$D$1077,$D206))</f>
        <v>1</v>
      </c>
      <c r="M206" s="63"/>
      <c r="N206" s="63"/>
      <c r="O206" s="63"/>
      <c r="P206" s="63"/>
      <c r="Q206" s="63"/>
      <c r="R206" s="63"/>
    </row>
    <row r="207" spans="1:18" ht="14.25" hidden="1">
      <c r="A207" s="42">
        <f t="shared" si="60"/>
        <v>6</v>
      </c>
      <c r="B207" s="78" t="str">
        <f t="shared" si="58"/>
        <v>Arizona_6</v>
      </c>
      <c r="C207" s="41" t="str">
        <f t="shared" si="59"/>
        <v>Q4 Shop 2</v>
      </c>
      <c r="D207" s="41" t="str">
        <f>IF(A207="","",VLOOKUP($B207,KEY!$B$6:$D$74,3,FALSE))</f>
        <v>Lamborghini North Scottsdale</v>
      </c>
      <c r="E207" s="53" t="str">
        <f>IFERROR(VLOOKUP($D207,KEY!$K$6:$M$55,3,FALSE),"")</f>
        <v/>
      </c>
      <c r="F207" s="67">
        <f>IF($D207="","",SUMIFS(WORKSHEET!H$3:H$1077,WORKSHEET!$A$3:$A$1077,$C207,WORKSHEET!$D$3:$D$1077,$D207))</f>
        <v>4</v>
      </c>
      <c r="G207" s="67">
        <f>IF($D207="","",SUMIFS(WORKSHEET!I$3:I$1077,WORKSHEET!$A$3:$A$1077,$C207,WORKSHEET!$D$3:$D$1077,$D207))</f>
        <v>2</v>
      </c>
      <c r="H207" s="63">
        <f t="shared" si="57"/>
        <v>0.5</v>
      </c>
      <c r="I207" s="63">
        <f>IF(OR($D207="",$F207=0),"",COUNTIFS(WORKSHEET!M$3:M$1077,"YES*",WORKSHEET!$A$3:$A$1077,$C207,WORKSHEET!$D$3:$D$1077,$D207))</f>
        <v>1</v>
      </c>
      <c r="J207" s="63">
        <f>IF(OR($D207="",$F207=0),"",COUNTIFS(WORKSHEET!N$3:N$1077,"YES*",WORKSHEET!$A$3:$A$1077,$C207,WORKSHEET!$D$3:$D$1077,$D207))</f>
        <v>1</v>
      </c>
      <c r="K207" s="63">
        <f>IF(OR($D207="",$F207=0),"",COUNTIFS(WORKSHEET!O$3:O$1077,"YES*",WORKSHEET!$A$3:$A$1077,$C207,WORKSHEET!$D$3:$D$1077,$D207))</f>
        <v>0</v>
      </c>
      <c r="L207" s="63">
        <f>IF(OR($D207="",$F207=0),"",COUNTIFS(WORKSHEET!P$3:P$1077,"YES*",WORKSHEET!$A$3:$A$1077,$C207,WORKSHEET!$D$3:$D$1077,$D207))</f>
        <v>0</v>
      </c>
      <c r="M207" s="63"/>
      <c r="N207" s="63"/>
      <c r="O207" s="63"/>
      <c r="P207" s="63"/>
      <c r="Q207" s="63"/>
      <c r="R207" s="63"/>
    </row>
    <row r="208" spans="1:18" ht="14.25" hidden="1">
      <c r="A208" s="42">
        <f t="shared" si="60"/>
        <v>7</v>
      </c>
      <c r="B208" s="78" t="str">
        <f t="shared" si="58"/>
        <v>Arizona_7</v>
      </c>
      <c r="C208" s="41" t="str">
        <f t="shared" si="59"/>
        <v>Q4 Shop 2</v>
      </c>
      <c r="D208" s="41" t="str">
        <f>IF(A208="","",VLOOKUP($B208,KEY!$B$6:$D$74,3,FALSE))</f>
        <v>Land Rover Chandler</v>
      </c>
      <c r="E208" s="53" t="str">
        <f>IFERROR(VLOOKUP($D208,KEY!$K$6:$M$55,3,FALSE),"")</f>
        <v/>
      </c>
      <c r="F208" s="67">
        <f>IF($D208="","",SUMIFS(WORKSHEET!H$3:H$1077,WORKSHEET!$A$3:$A$1077,$C208,WORKSHEET!$D$3:$D$1077,$D208))</f>
        <v>4</v>
      </c>
      <c r="G208" s="67">
        <f>IF($D208="","",SUMIFS(WORKSHEET!I$3:I$1077,WORKSHEET!$A$3:$A$1077,$C208,WORKSHEET!$D$3:$D$1077,$D208))</f>
        <v>4</v>
      </c>
      <c r="H208" s="63">
        <f t="shared" si="57"/>
        <v>1</v>
      </c>
      <c r="I208" s="63">
        <f>IF(OR($D208="",$F208=0),"",COUNTIFS(WORKSHEET!M$3:M$1077,"YES*",WORKSHEET!$A$3:$A$1077,$C208,WORKSHEET!$D$3:$D$1077,$D208))</f>
        <v>1</v>
      </c>
      <c r="J208" s="63">
        <f>IF(OR($D208="",$F208=0),"",COUNTIFS(WORKSHEET!N$3:N$1077,"YES*",WORKSHEET!$A$3:$A$1077,$C208,WORKSHEET!$D$3:$D$1077,$D208))</f>
        <v>1</v>
      </c>
      <c r="K208" s="63">
        <f>IF(OR($D208="",$F208=0),"",COUNTIFS(WORKSHEET!O$3:O$1077,"YES*",WORKSHEET!$A$3:$A$1077,$C208,WORKSHEET!$D$3:$D$1077,$D208))</f>
        <v>1</v>
      </c>
      <c r="L208" s="63">
        <f>IF(OR($D208="",$F208=0),"",COUNTIFS(WORKSHEET!P$3:P$1077,"YES*",WORKSHEET!$A$3:$A$1077,$C208,WORKSHEET!$D$3:$D$1077,$D208))</f>
        <v>1</v>
      </c>
      <c r="M208" s="63"/>
      <c r="N208" s="63"/>
      <c r="O208" s="63"/>
      <c r="P208" s="63"/>
      <c r="Q208" s="63"/>
      <c r="R208" s="63"/>
    </row>
    <row r="209" spans="1:18" ht="14.25" hidden="1">
      <c r="A209" s="42">
        <f t="shared" si="60"/>
        <v>8</v>
      </c>
      <c r="B209" s="78" t="str">
        <f t="shared" si="58"/>
        <v>Arizona_8</v>
      </c>
      <c r="C209" s="41" t="str">
        <f t="shared" si="59"/>
        <v>Q4 Shop 2</v>
      </c>
      <c r="D209" s="41" t="str">
        <f>IF(A209="","",VLOOKUP($B209,KEY!$B$6:$D$74,3,FALSE))</f>
        <v>Land Rover North Scottsdale</v>
      </c>
      <c r="E209" s="53" t="str">
        <f>IFERROR(VLOOKUP($D209,KEY!$K$6:$M$55,3,FALSE),"")</f>
        <v/>
      </c>
      <c r="F209" s="67">
        <f>IF($D209="","",SUMIFS(WORKSHEET!H$3:H$1077,WORKSHEET!$A$3:$A$1077,$C209,WORKSHEET!$D$3:$D$1077,$D209))</f>
        <v>4</v>
      </c>
      <c r="G209" s="67">
        <f>IF($D209="","",SUMIFS(WORKSHEET!I$3:I$1077,WORKSHEET!$A$3:$A$1077,$C209,WORKSHEET!$D$3:$D$1077,$D209))</f>
        <v>4</v>
      </c>
      <c r="H209" s="63">
        <f t="shared" si="57"/>
        <v>1</v>
      </c>
      <c r="I209" s="63">
        <f>IF(OR($D209="",$F209=0),"",COUNTIFS(WORKSHEET!M$3:M$1077,"YES*",WORKSHEET!$A$3:$A$1077,$C209,WORKSHEET!$D$3:$D$1077,$D209))</f>
        <v>1</v>
      </c>
      <c r="J209" s="63">
        <f>IF(OR($D209="",$F209=0),"",COUNTIFS(WORKSHEET!N$3:N$1077,"YES*",WORKSHEET!$A$3:$A$1077,$C209,WORKSHEET!$D$3:$D$1077,$D209))</f>
        <v>1</v>
      </c>
      <c r="K209" s="63">
        <f>IF(OR($D209="",$F209=0),"",COUNTIFS(WORKSHEET!O$3:O$1077,"YES*",WORKSHEET!$A$3:$A$1077,$C209,WORKSHEET!$D$3:$D$1077,$D209))</f>
        <v>1</v>
      </c>
      <c r="L209" s="63">
        <f>IF(OR($D209="",$F209=0),"",COUNTIFS(WORKSHEET!P$3:P$1077,"YES*",WORKSHEET!$A$3:$A$1077,$C209,WORKSHEET!$D$3:$D$1077,$D209))</f>
        <v>1</v>
      </c>
      <c r="M209" s="63"/>
      <c r="N209" s="63"/>
      <c r="O209" s="63"/>
      <c r="P209" s="63"/>
      <c r="Q209" s="63"/>
      <c r="R209" s="63"/>
    </row>
    <row r="210" spans="1:18" ht="14.25" hidden="1">
      <c r="A210" s="42">
        <f t="shared" si="60"/>
        <v>9</v>
      </c>
      <c r="B210" s="78" t="str">
        <f t="shared" si="58"/>
        <v>Arizona_9</v>
      </c>
      <c r="C210" s="41" t="str">
        <f t="shared" si="59"/>
        <v>Q4 Shop 2</v>
      </c>
      <c r="D210" s="41" t="str">
        <f>IF(A210="","",VLOOKUP($B210,KEY!$B$6:$D$74,3,FALSE))</f>
        <v>Lexus of Chandler</v>
      </c>
      <c r="E210" s="53" t="str">
        <f>IFERROR(VLOOKUP($D210,KEY!$K$6:$M$55,3,FALSE),"")</f>
        <v/>
      </c>
      <c r="F210" s="67">
        <f>IF($D210="","",SUMIFS(WORKSHEET!H$3:H$1077,WORKSHEET!$A$3:$A$1077,$C210,WORKSHEET!$D$3:$D$1077,$D210))</f>
        <v>4</v>
      </c>
      <c r="G210" s="67">
        <f>IF($D210="","",SUMIFS(WORKSHEET!I$3:I$1077,WORKSHEET!$A$3:$A$1077,$C210,WORKSHEET!$D$3:$D$1077,$D210))</f>
        <v>4</v>
      </c>
      <c r="H210" s="63">
        <f t="shared" si="57"/>
        <v>1</v>
      </c>
      <c r="I210" s="63">
        <f>IF(OR($D210="",$F210=0),"",COUNTIFS(WORKSHEET!M$3:M$1077,"YES*",WORKSHEET!$A$3:$A$1077,$C210,WORKSHEET!$D$3:$D$1077,$D210))</f>
        <v>1</v>
      </c>
      <c r="J210" s="63">
        <f>IF(OR($D210="",$F210=0),"",COUNTIFS(WORKSHEET!N$3:N$1077,"YES*",WORKSHEET!$A$3:$A$1077,$C210,WORKSHEET!$D$3:$D$1077,$D210))</f>
        <v>1</v>
      </c>
      <c r="K210" s="63">
        <f>IF(OR($D210="",$F210=0),"",COUNTIFS(WORKSHEET!O$3:O$1077,"YES*",WORKSHEET!$A$3:$A$1077,$C210,WORKSHEET!$D$3:$D$1077,$D210))</f>
        <v>1</v>
      </c>
      <c r="L210" s="63">
        <f>IF(OR($D210="",$F210=0),"",COUNTIFS(WORKSHEET!P$3:P$1077,"YES*",WORKSHEET!$A$3:$A$1077,$C210,WORKSHEET!$D$3:$D$1077,$D210))</f>
        <v>1</v>
      </c>
      <c r="M210" s="63"/>
      <c r="N210" s="63"/>
      <c r="O210" s="63"/>
      <c r="P210" s="63"/>
      <c r="Q210" s="63"/>
      <c r="R210" s="63"/>
    </row>
    <row r="211" spans="1:18" ht="14.25" hidden="1">
      <c r="A211" s="42">
        <f t="shared" si="60"/>
        <v>10</v>
      </c>
      <c r="B211" s="78" t="str">
        <f t="shared" si="58"/>
        <v>Arizona_10</v>
      </c>
      <c r="C211" s="41" t="str">
        <f t="shared" si="59"/>
        <v>Q4 Shop 2</v>
      </c>
      <c r="D211" s="41" t="str">
        <f>IF(A211="","",VLOOKUP($B211,KEY!$B$6:$D$74,3,FALSE))</f>
        <v>Mercedes-Benz of Chandler</v>
      </c>
      <c r="E211" s="53" t="str">
        <f>IFERROR(VLOOKUP($D211,KEY!$K$6:$M$55,3,FALSE),"")</f>
        <v/>
      </c>
      <c r="F211" s="67">
        <f>IF($D211="","",SUMIFS(WORKSHEET!H$3:H$1077,WORKSHEET!$A$3:$A$1077,$C211,WORKSHEET!$D$3:$D$1077,$D211))</f>
        <v>4</v>
      </c>
      <c r="G211" s="67">
        <f>IF($D211="","",SUMIFS(WORKSHEET!I$3:I$1077,WORKSHEET!$A$3:$A$1077,$C211,WORKSHEET!$D$3:$D$1077,$D211))</f>
        <v>4</v>
      </c>
      <c r="H211" s="63">
        <f>IF(OR($D211="",$F211=0),"",G211/F211)</f>
        <v>1</v>
      </c>
      <c r="I211" s="63">
        <f>IF(OR($D211="",$F211=0),"",COUNTIFS(WORKSHEET!M$3:M$1077,"YES*",WORKSHEET!$A$3:$A$1077,$C211,WORKSHEET!$D$3:$D$1077,$D211))</f>
        <v>1</v>
      </c>
      <c r="J211" s="63">
        <f>IF(OR($D211="",$F211=0),"",COUNTIFS(WORKSHEET!N$3:N$1077,"YES*",WORKSHEET!$A$3:$A$1077,$C211,WORKSHEET!$D$3:$D$1077,$D211))</f>
        <v>1</v>
      </c>
      <c r="K211" s="63">
        <f>IF(OR($D211="",$F211=0),"",COUNTIFS(WORKSHEET!O$3:O$1077,"YES*",WORKSHEET!$A$3:$A$1077,$C211,WORKSHEET!$D$3:$D$1077,$D211))</f>
        <v>1</v>
      </c>
      <c r="L211" s="63">
        <f>IF(OR($D211="",$F211=0),"",COUNTIFS(WORKSHEET!P$3:P$1077,"YES*",WORKSHEET!$A$3:$A$1077,$C211,WORKSHEET!$D$3:$D$1077,$D211))</f>
        <v>1</v>
      </c>
      <c r="M211" s="63"/>
      <c r="N211" s="63"/>
      <c r="O211" s="63"/>
      <c r="P211" s="63"/>
      <c r="Q211" s="63"/>
      <c r="R211" s="63"/>
    </row>
    <row r="212" spans="1:18" ht="14.25" hidden="1">
      <c r="A212" s="42">
        <f t="shared" si="60"/>
        <v>11</v>
      </c>
      <c r="B212" s="78" t="str">
        <f t="shared" si="58"/>
        <v>Arizona_11</v>
      </c>
      <c r="C212" s="41" t="str">
        <f t="shared" si="59"/>
        <v>Q4 Shop 2</v>
      </c>
      <c r="D212" s="41" t="str">
        <f>IF(A212="","",VLOOKUP($B212,KEY!$B$6:$D$74,3,FALSE))</f>
        <v>Mercedes-Benz of North Scottsdale</v>
      </c>
      <c r="E212" s="53" t="str">
        <f>IFERROR(VLOOKUP($D212,KEY!$K$6:$M$55,3,FALSE),"")</f>
        <v/>
      </c>
      <c r="F212" s="67">
        <f>IF($D212="","",SUMIFS(WORKSHEET!H$3:H$1077,WORKSHEET!$A$3:$A$1077,$C212,WORKSHEET!$D$3:$D$1077,$D212))</f>
        <v>4</v>
      </c>
      <c r="G212" s="67">
        <f>IF($D212="","",SUMIFS(WORKSHEET!I$3:I$1077,WORKSHEET!$A$3:$A$1077,$C212,WORKSHEET!$D$3:$D$1077,$D212))</f>
        <v>4</v>
      </c>
      <c r="H212" s="63">
        <f t="shared" ref="H212:H226" si="61">IF(OR($D212="",$F212=0),"",G212/F212)</f>
        <v>1</v>
      </c>
      <c r="I212" s="63">
        <f>IF(OR($D212="",$F212=0),"",COUNTIFS(WORKSHEET!M$3:M$1077,"YES*",WORKSHEET!$A$3:$A$1077,$C212,WORKSHEET!$D$3:$D$1077,$D212))</f>
        <v>1</v>
      </c>
      <c r="J212" s="63">
        <f>IF(OR($D212="",$F212=0),"",COUNTIFS(WORKSHEET!N$3:N$1077,"YES*",WORKSHEET!$A$3:$A$1077,$C212,WORKSHEET!$D$3:$D$1077,$D212))</f>
        <v>1</v>
      </c>
      <c r="K212" s="63">
        <f>IF(OR($D212="",$F212=0),"",COUNTIFS(WORKSHEET!O$3:O$1077,"YES*",WORKSHEET!$A$3:$A$1077,$C212,WORKSHEET!$D$3:$D$1077,$D212))</f>
        <v>1</v>
      </c>
      <c r="L212" s="63">
        <f>IF(OR($D212="",$F212=0),"",COUNTIFS(WORKSHEET!P$3:P$1077,"YES*",WORKSHEET!$A$3:$A$1077,$C212,WORKSHEET!$D$3:$D$1077,$D212))</f>
        <v>1</v>
      </c>
      <c r="M212" s="63"/>
      <c r="N212" s="63"/>
      <c r="O212" s="63"/>
      <c r="P212" s="63"/>
      <c r="Q212" s="63"/>
      <c r="R212" s="63"/>
    </row>
    <row r="213" spans="1:18" ht="14.25" hidden="1">
      <c r="A213" s="42">
        <f t="shared" si="60"/>
        <v>12</v>
      </c>
      <c r="B213" s="78" t="str">
        <f t="shared" si="58"/>
        <v>Arizona_12</v>
      </c>
      <c r="C213" s="41" t="str">
        <f t="shared" si="59"/>
        <v>Q4 Shop 2</v>
      </c>
      <c r="D213" s="41" t="str">
        <f>IF(A213="","",VLOOKUP($B213,KEY!$B$6:$D$74,3,FALSE))</f>
        <v>MINI North Scottsdale</v>
      </c>
      <c r="E213" s="53" t="str">
        <f>IFERROR(VLOOKUP($D213,KEY!$K$6:$M$55,3,FALSE),"")</f>
        <v/>
      </c>
      <c r="F213" s="67">
        <f>IF($D213="","",SUMIFS(WORKSHEET!H$3:H$1077,WORKSHEET!$A$3:$A$1077,$C213,WORKSHEET!$D$3:$D$1077,$D213))</f>
        <v>4</v>
      </c>
      <c r="G213" s="67">
        <f>IF($D213="","",SUMIFS(WORKSHEET!I$3:I$1077,WORKSHEET!$A$3:$A$1077,$C213,WORKSHEET!$D$3:$D$1077,$D213))</f>
        <v>4</v>
      </c>
      <c r="H213" s="63">
        <f t="shared" si="61"/>
        <v>1</v>
      </c>
      <c r="I213" s="63">
        <f>IF(OR($D213="",$F213=0),"",COUNTIFS(WORKSHEET!M$3:M$1077,"YES*",WORKSHEET!$A$3:$A$1077,$C213,WORKSHEET!$D$3:$D$1077,$D213))</f>
        <v>1</v>
      </c>
      <c r="J213" s="63">
        <f>IF(OR($D213="",$F213=0),"",COUNTIFS(WORKSHEET!N$3:N$1077,"YES*",WORKSHEET!$A$3:$A$1077,$C213,WORKSHEET!$D$3:$D$1077,$D213))</f>
        <v>1</v>
      </c>
      <c r="K213" s="63">
        <f>IF(OR($D213="",$F213=0),"",COUNTIFS(WORKSHEET!O$3:O$1077,"YES*",WORKSHEET!$A$3:$A$1077,$C213,WORKSHEET!$D$3:$D$1077,$D213))</f>
        <v>1</v>
      </c>
      <c r="L213" s="63">
        <f>IF(OR($D213="",$F213=0),"",COUNTIFS(WORKSHEET!P$3:P$1077,"YES*",WORKSHEET!$A$3:$A$1077,$C213,WORKSHEET!$D$3:$D$1077,$D213))</f>
        <v>1</v>
      </c>
      <c r="M213" s="63"/>
      <c r="N213" s="63"/>
      <c r="O213" s="63"/>
      <c r="P213" s="63"/>
      <c r="Q213" s="63"/>
      <c r="R213" s="63"/>
    </row>
    <row r="214" spans="1:18" ht="14.25" hidden="1">
      <c r="A214" s="42">
        <f t="shared" si="60"/>
        <v>13</v>
      </c>
      <c r="B214" s="78" t="str">
        <f t="shared" si="58"/>
        <v>Arizona_13</v>
      </c>
      <c r="C214" s="41" t="str">
        <f t="shared" si="59"/>
        <v>Q4 Shop 2</v>
      </c>
      <c r="D214" s="41" t="str">
        <f>IF(A214="","",VLOOKUP($B214,KEY!$B$6:$D$74,3,FALSE))</f>
        <v>MINI of Tempe</v>
      </c>
      <c r="E214" s="53" t="str">
        <f>IFERROR(VLOOKUP($D214,KEY!$K$6:$M$55,3,FALSE),"")</f>
        <v/>
      </c>
      <c r="F214" s="67">
        <f>IF($D214="","",SUMIFS(WORKSHEET!H$3:H$1077,WORKSHEET!$A$3:$A$1077,$C214,WORKSHEET!$D$3:$D$1077,$D214))</f>
        <v>4</v>
      </c>
      <c r="G214" s="67">
        <f>IF($D214="","",SUMIFS(WORKSHEET!I$3:I$1077,WORKSHEET!$A$3:$A$1077,$C214,WORKSHEET!$D$3:$D$1077,$D214))</f>
        <v>4</v>
      </c>
      <c r="H214" s="63">
        <f t="shared" si="61"/>
        <v>1</v>
      </c>
      <c r="I214" s="63">
        <f>IF(OR($D214="",$F214=0),"",COUNTIFS(WORKSHEET!M$3:M$1077,"YES*",WORKSHEET!$A$3:$A$1077,$C214,WORKSHEET!$D$3:$D$1077,$D214))</f>
        <v>1</v>
      </c>
      <c r="J214" s="63">
        <f>IF(OR($D214="",$F214=0),"",COUNTIFS(WORKSHEET!N$3:N$1077,"YES*",WORKSHEET!$A$3:$A$1077,$C214,WORKSHEET!$D$3:$D$1077,$D214))</f>
        <v>1</v>
      </c>
      <c r="K214" s="63">
        <f>IF(OR($D214="",$F214=0),"",COUNTIFS(WORKSHEET!O$3:O$1077,"YES*",WORKSHEET!$A$3:$A$1077,$C214,WORKSHEET!$D$3:$D$1077,$D214))</f>
        <v>1</v>
      </c>
      <c r="L214" s="63">
        <f>IF(OR($D214="",$F214=0),"",COUNTIFS(WORKSHEET!P$3:P$1077,"YES*",WORKSHEET!$A$3:$A$1077,$C214,WORKSHEET!$D$3:$D$1077,$D214))</f>
        <v>1</v>
      </c>
      <c r="M214" s="63"/>
      <c r="N214" s="63"/>
      <c r="O214" s="63"/>
      <c r="P214" s="63"/>
      <c r="Q214" s="63"/>
      <c r="R214" s="63"/>
    </row>
    <row r="215" spans="1:18" ht="14.25" hidden="1">
      <c r="A215" s="42">
        <f t="shared" si="60"/>
        <v>14</v>
      </c>
      <c r="B215" s="78" t="str">
        <f t="shared" si="58"/>
        <v>Arizona_14</v>
      </c>
      <c r="C215" s="41" t="str">
        <f t="shared" si="59"/>
        <v>Q4 Shop 2</v>
      </c>
      <c r="D215" s="41" t="str">
        <f>IF(A215="","",VLOOKUP($B215,KEY!$B$6:$D$74,3,FALSE))</f>
        <v>Porsche North Scottsdale</v>
      </c>
      <c r="E215" s="53" t="str">
        <f>IFERROR(VLOOKUP($D215,KEY!$K$6:$M$55,3,FALSE),"")</f>
        <v/>
      </c>
      <c r="F215" s="67">
        <f>IF($D215="","",SUMIFS(WORKSHEET!H$3:H$1077,WORKSHEET!$A$3:$A$1077,$C215,WORKSHEET!$D$3:$D$1077,$D215))</f>
        <v>4</v>
      </c>
      <c r="G215" s="67">
        <f>IF($D215="","",SUMIFS(WORKSHEET!I$3:I$1077,WORKSHEET!$A$3:$A$1077,$C215,WORKSHEET!$D$3:$D$1077,$D215))</f>
        <v>4</v>
      </c>
      <c r="H215" s="63">
        <f t="shared" si="61"/>
        <v>1</v>
      </c>
      <c r="I215" s="63">
        <f>IF(OR($D215="",$F215=0),"",COUNTIFS(WORKSHEET!M$3:M$1077,"YES*",WORKSHEET!$A$3:$A$1077,$C215,WORKSHEET!$D$3:$D$1077,$D215))</f>
        <v>1</v>
      </c>
      <c r="J215" s="63">
        <f>IF(OR($D215="",$F215=0),"",COUNTIFS(WORKSHEET!N$3:N$1077,"YES*",WORKSHEET!$A$3:$A$1077,$C215,WORKSHEET!$D$3:$D$1077,$D215))</f>
        <v>1</v>
      </c>
      <c r="K215" s="63">
        <f>IF(OR($D215="",$F215=0),"",COUNTIFS(WORKSHEET!O$3:O$1077,"YES*",WORKSHEET!$A$3:$A$1077,$C215,WORKSHEET!$D$3:$D$1077,$D215))</f>
        <v>1</v>
      </c>
      <c r="L215" s="63">
        <f>IF(OR($D215="",$F215=0),"",COUNTIFS(WORKSHEET!P$3:P$1077,"YES*",WORKSHEET!$A$3:$A$1077,$C215,WORKSHEET!$D$3:$D$1077,$D215))</f>
        <v>1</v>
      </c>
      <c r="M215" s="63"/>
      <c r="N215" s="63"/>
      <c r="O215" s="63"/>
      <c r="P215" s="63"/>
      <c r="Q215" s="63"/>
      <c r="R215" s="63"/>
    </row>
    <row r="216" spans="1:18" ht="14.25" hidden="1">
      <c r="A216" s="42">
        <f t="shared" si="60"/>
        <v>15</v>
      </c>
      <c r="B216" s="78" t="str">
        <f t="shared" si="58"/>
        <v>Arizona_15</v>
      </c>
      <c r="C216" s="41" t="str">
        <f t="shared" si="59"/>
        <v>Q4 Shop 2</v>
      </c>
      <c r="D216" s="41" t="str">
        <f>IF(A216="","",VLOOKUP($B216,KEY!$B$6:$D$74,3,FALSE))</f>
        <v>Scottsdale Ferrari Maserati</v>
      </c>
      <c r="E216" s="53" t="str">
        <f>IFERROR(VLOOKUP($D216,KEY!$K$6:$M$55,3,FALSE),"")</f>
        <v/>
      </c>
      <c r="F216" s="67">
        <f>IF($D216="","",SUMIFS(WORKSHEET!H$3:H$1077,WORKSHEET!$A$3:$A$1077,$C216,WORKSHEET!$D$3:$D$1077,$D216))</f>
        <v>4</v>
      </c>
      <c r="G216" s="67">
        <f>IF($D216="","",SUMIFS(WORKSHEET!I$3:I$1077,WORKSHEET!$A$3:$A$1077,$C216,WORKSHEET!$D$3:$D$1077,$D216))</f>
        <v>1</v>
      </c>
      <c r="H216" s="63">
        <f t="shared" si="61"/>
        <v>0.25</v>
      </c>
      <c r="I216" s="63">
        <f>IF(OR($D216="",$F216=0),"",COUNTIFS(WORKSHEET!M$3:M$1077,"YES*",WORKSHEET!$A$3:$A$1077,$C216,WORKSHEET!$D$3:$D$1077,$D216))</f>
        <v>0</v>
      </c>
      <c r="J216" s="63">
        <f>IF(OR($D216="",$F216=0),"",COUNTIFS(WORKSHEET!N$3:N$1077,"YES*",WORKSHEET!$A$3:$A$1077,$C216,WORKSHEET!$D$3:$D$1077,$D216))</f>
        <v>0</v>
      </c>
      <c r="K216" s="63">
        <f>IF(OR($D216="",$F216=0),"",COUNTIFS(WORKSHEET!O$3:O$1077,"YES*",WORKSHEET!$A$3:$A$1077,$C216,WORKSHEET!$D$3:$D$1077,$D216))</f>
        <v>1</v>
      </c>
      <c r="L216" s="63">
        <f>IF(OR($D216="",$F216=0),"",COUNTIFS(WORKSHEET!P$3:P$1077,"YES*",WORKSHEET!$A$3:$A$1077,$C216,WORKSHEET!$D$3:$D$1077,$D216))</f>
        <v>0</v>
      </c>
      <c r="M216" s="63"/>
      <c r="N216" s="63"/>
      <c r="O216" s="63"/>
      <c r="P216" s="63"/>
      <c r="Q216" s="63"/>
      <c r="R216" s="63"/>
    </row>
    <row r="217" spans="1:18" ht="14.25" hidden="1">
      <c r="A217" s="42">
        <f t="shared" si="60"/>
        <v>16</v>
      </c>
      <c r="B217" s="78" t="str">
        <f t="shared" si="58"/>
        <v>Arizona_16</v>
      </c>
      <c r="C217" s="41" t="str">
        <f t="shared" si="59"/>
        <v>Q4 Shop 2</v>
      </c>
      <c r="D217" s="41" t="str">
        <f>IF(A217="","",VLOOKUP($B217,KEY!$B$6:$D$74,3,FALSE))</f>
        <v>Tempe Honda</v>
      </c>
      <c r="E217" s="53" t="str">
        <f>IFERROR(VLOOKUP($D217,KEY!$K$6:$M$55,3,FALSE),"")</f>
        <v/>
      </c>
      <c r="F217" s="67">
        <f>IF($D217="","",SUMIFS(WORKSHEET!H$3:H$1077,WORKSHEET!$A$3:$A$1077,$C217,WORKSHEET!$D$3:$D$1077,$D217))</f>
        <v>4</v>
      </c>
      <c r="G217" s="67">
        <f>IF($D217="","",SUMIFS(WORKSHEET!I$3:I$1077,WORKSHEET!$A$3:$A$1077,$C217,WORKSHEET!$D$3:$D$1077,$D217))</f>
        <v>4</v>
      </c>
      <c r="H217" s="63">
        <f t="shared" si="61"/>
        <v>1</v>
      </c>
      <c r="I217" s="63">
        <f>IF(OR($D217="",$F217=0),"",COUNTIFS(WORKSHEET!M$3:M$1077,"YES*",WORKSHEET!$A$3:$A$1077,$C217,WORKSHEET!$D$3:$D$1077,$D217))</f>
        <v>1</v>
      </c>
      <c r="J217" s="63">
        <f>IF(OR($D217="",$F217=0),"",COUNTIFS(WORKSHEET!N$3:N$1077,"YES*",WORKSHEET!$A$3:$A$1077,$C217,WORKSHEET!$D$3:$D$1077,$D217))</f>
        <v>1</v>
      </c>
      <c r="K217" s="63">
        <f>IF(OR($D217="",$F217=0),"",COUNTIFS(WORKSHEET!O$3:O$1077,"YES*",WORKSHEET!$A$3:$A$1077,$C217,WORKSHEET!$D$3:$D$1077,$D217))</f>
        <v>1</v>
      </c>
      <c r="L217" s="63">
        <f>IF(OR($D217="",$F217=0),"",COUNTIFS(WORKSHEET!P$3:P$1077,"YES*",WORKSHEET!$A$3:$A$1077,$C217,WORKSHEET!$D$3:$D$1077,$D217))</f>
        <v>1</v>
      </c>
      <c r="M217" s="63"/>
      <c r="N217" s="63"/>
      <c r="O217" s="63"/>
      <c r="P217" s="63"/>
      <c r="Q217" s="63"/>
      <c r="R217" s="63"/>
    </row>
    <row r="218" spans="1:18" ht="14.25" hidden="1">
      <c r="A218" s="42">
        <f t="shared" si="60"/>
        <v>17</v>
      </c>
      <c r="B218" s="78" t="str">
        <f t="shared" si="58"/>
        <v>Arizona_17</v>
      </c>
      <c r="C218" s="41" t="str">
        <f t="shared" si="59"/>
        <v>Q4 Shop 2</v>
      </c>
      <c r="D218" s="41" t="str">
        <f>IF(A218="","",VLOOKUP($B218,KEY!$B$6:$D$74,3,FALSE))</f>
        <v>Toyota of Surprise</v>
      </c>
      <c r="E218" s="53" t="str">
        <f>IFERROR(VLOOKUP($D218,KEY!$K$6:$M$55,3,FALSE),"")</f>
        <v/>
      </c>
      <c r="F218" s="67">
        <f>IF($D218="","",SUMIFS(WORKSHEET!H$3:H$1077,WORKSHEET!$A$3:$A$1077,$C218,WORKSHEET!$D$3:$D$1077,$D218))</f>
        <v>4</v>
      </c>
      <c r="G218" s="67">
        <f>IF($D218="","",SUMIFS(WORKSHEET!I$3:I$1077,WORKSHEET!$A$3:$A$1077,$C218,WORKSHEET!$D$3:$D$1077,$D218))</f>
        <v>3</v>
      </c>
      <c r="H218" s="63">
        <f t="shared" si="61"/>
        <v>0.75</v>
      </c>
      <c r="I218" s="63">
        <f>IF(OR($D218="",$F218=0),"",COUNTIFS(WORKSHEET!M$3:M$1077,"YES*",WORKSHEET!$A$3:$A$1077,$C218,WORKSHEET!$D$3:$D$1077,$D218))</f>
        <v>1</v>
      </c>
      <c r="J218" s="63">
        <f>IF(OR($D218="",$F218=0),"",COUNTIFS(WORKSHEET!N$3:N$1077,"YES*",WORKSHEET!$A$3:$A$1077,$C218,WORKSHEET!$D$3:$D$1077,$D218))</f>
        <v>0</v>
      </c>
      <c r="K218" s="63">
        <f>IF(OR($D218="",$F218=0),"",COUNTIFS(WORKSHEET!O$3:O$1077,"YES*",WORKSHEET!$A$3:$A$1077,$C218,WORKSHEET!$D$3:$D$1077,$D218))</f>
        <v>1</v>
      </c>
      <c r="L218" s="63">
        <f>IF(OR($D218="",$F218=0),"",COUNTIFS(WORKSHEET!P$3:P$1077,"YES*",WORKSHEET!$A$3:$A$1077,$C218,WORKSHEET!$D$3:$D$1077,$D218))</f>
        <v>1</v>
      </c>
      <c r="M218" s="63"/>
      <c r="N218" s="63"/>
      <c r="O218" s="63"/>
      <c r="P218" s="63"/>
      <c r="Q218" s="63"/>
      <c r="R218" s="63"/>
    </row>
    <row r="219" spans="1:18" ht="14.25" hidden="1">
      <c r="A219" s="42">
        <f t="shared" si="60"/>
        <v>18</v>
      </c>
      <c r="B219" s="78" t="str">
        <f t="shared" si="58"/>
        <v>Arizona_18</v>
      </c>
      <c r="C219" s="41" t="str">
        <f t="shared" si="59"/>
        <v>Q4 Shop 2</v>
      </c>
      <c r="D219" s="41" t="str">
        <f>IF(A219="","",VLOOKUP($B219,KEY!$B$6:$D$74,3,FALSE))</f>
        <v>Volkswagen North Scottsdale</v>
      </c>
      <c r="E219" s="53" t="str">
        <f>IFERROR(VLOOKUP($D219,KEY!$K$6:$M$55,3,FALSE),"")</f>
        <v/>
      </c>
      <c r="F219" s="67">
        <f>IF($D219="","",SUMIFS(WORKSHEET!H$3:H$1077,WORKSHEET!$A$3:$A$1077,$C219,WORKSHEET!$D$3:$D$1077,$D219))</f>
        <v>4</v>
      </c>
      <c r="G219" s="67">
        <f>IF($D219="","",SUMIFS(WORKSHEET!I$3:I$1077,WORKSHEET!$A$3:$A$1077,$C219,WORKSHEET!$D$3:$D$1077,$D219))</f>
        <v>4</v>
      </c>
      <c r="H219" s="63">
        <f t="shared" si="61"/>
        <v>1</v>
      </c>
      <c r="I219" s="63">
        <f>IF(OR($D219="",$F219=0),"",COUNTIFS(WORKSHEET!M$3:M$1077,"YES*",WORKSHEET!$A$3:$A$1077,$C219,WORKSHEET!$D$3:$D$1077,$D219))</f>
        <v>1</v>
      </c>
      <c r="J219" s="63">
        <f>IF(OR($D219="",$F219=0),"",COUNTIFS(WORKSHEET!N$3:N$1077,"YES*",WORKSHEET!$A$3:$A$1077,$C219,WORKSHEET!$D$3:$D$1077,$D219))</f>
        <v>1</v>
      </c>
      <c r="K219" s="63">
        <f>IF(OR($D219="",$F219=0),"",COUNTIFS(WORKSHEET!O$3:O$1077,"YES*",WORKSHEET!$A$3:$A$1077,$C219,WORKSHEET!$D$3:$D$1077,$D219))</f>
        <v>1</v>
      </c>
      <c r="L219" s="63">
        <f>IF(OR($D219="",$F219=0),"",COUNTIFS(WORKSHEET!P$3:P$1077,"YES*",WORKSHEET!$A$3:$A$1077,$C219,WORKSHEET!$D$3:$D$1077,$D219))</f>
        <v>1</v>
      </c>
      <c r="M219" s="63"/>
      <c r="N219" s="63"/>
      <c r="O219" s="63"/>
      <c r="P219" s="63"/>
      <c r="Q219" s="63"/>
      <c r="R219" s="63"/>
    </row>
    <row r="220" spans="1:18" ht="14.25" hidden="1">
      <c r="A220" s="42" t="str">
        <f t="shared" si="60"/>
        <v/>
      </c>
      <c r="B220" s="78" t="str">
        <f t="shared" si="58"/>
        <v/>
      </c>
      <c r="C220" s="41" t="str">
        <f t="shared" si="59"/>
        <v>Q4 Shop 2</v>
      </c>
      <c r="D220" s="41" t="str">
        <f>IF(A220="","",VLOOKUP($B220,KEY!$B$6:$D$74,3,FALSE))</f>
        <v/>
      </c>
      <c r="E220" s="53" t="str">
        <f>IFERROR(VLOOKUP($D220,KEY!$K$6:$M$55,3,FALSE),"")</f>
        <v/>
      </c>
      <c r="F220" s="67" t="str">
        <f>IF($D220="","",SUMIFS(WORKSHEET!H$3:H$1077,WORKSHEET!$A$3:$A$1077,$C220,WORKSHEET!$D$3:$D$1077,$D220))</f>
        <v/>
      </c>
      <c r="G220" s="67" t="str">
        <f>IF($D220="","",SUMIFS(WORKSHEET!I$3:I$1077,WORKSHEET!$A$3:$A$1077,$C220,WORKSHEET!$D$3:$D$1077,$D220))</f>
        <v/>
      </c>
      <c r="H220" s="63" t="str">
        <f t="shared" si="61"/>
        <v/>
      </c>
      <c r="I220" s="63" t="str">
        <f>IF(OR($D220="",$F220=0),"",COUNTIFS(WORKSHEET!M$3:M$1077,"YES*",WORKSHEET!$A$3:$A$1077,$C220,WORKSHEET!$D$3:$D$1077,$D220))</f>
        <v/>
      </c>
      <c r="J220" s="63" t="str">
        <f>IF(OR($D220="",$F220=0),"",COUNTIFS(WORKSHEET!N$3:N$1077,"YES*",WORKSHEET!$A$3:$A$1077,$C220,WORKSHEET!$D$3:$D$1077,$D220))</f>
        <v/>
      </c>
      <c r="K220" s="63" t="str">
        <f>IF(OR($D220="",$F220=0),"",COUNTIFS(WORKSHEET!O$3:O$1077,"YES*",WORKSHEET!$A$3:$A$1077,$C220,WORKSHEET!$D$3:$D$1077,$D220))</f>
        <v/>
      </c>
      <c r="L220" s="63" t="str">
        <f>IF(OR($D220="",$F220=0),"",COUNTIFS(WORKSHEET!P$3:P$1077,"YES*",WORKSHEET!$A$3:$A$1077,$C220,WORKSHEET!$D$3:$D$1077,$D220))</f>
        <v/>
      </c>
      <c r="M220" s="63"/>
      <c r="N220" s="63"/>
      <c r="O220" s="63"/>
      <c r="P220" s="63"/>
      <c r="Q220" s="63"/>
      <c r="R220" s="63"/>
    </row>
    <row r="221" spans="1:18" ht="14.25" hidden="1">
      <c r="A221" s="42" t="str">
        <f t="shared" si="60"/>
        <v/>
      </c>
      <c r="B221" s="78" t="str">
        <f t="shared" si="58"/>
        <v/>
      </c>
      <c r="C221" s="41" t="str">
        <f t="shared" si="59"/>
        <v>Q4 Shop 2</v>
      </c>
      <c r="D221" s="41" t="str">
        <f>IF(A221="","",VLOOKUP($B221,KEY!$B$6:$D$74,3,FALSE))</f>
        <v/>
      </c>
      <c r="E221" s="53" t="str">
        <f>IFERROR(VLOOKUP($D221,KEY!$K$6:$M$55,3,FALSE),"")</f>
        <v/>
      </c>
      <c r="F221" s="67" t="str">
        <f>IF($D221="","",SUMIFS(WORKSHEET!H$3:H$1077,WORKSHEET!$A$3:$A$1077,$C221,WORKSHEET!$D$3:$D$1077,$D221))</f>
        <v/>
      </c>
      <c r="G221" s="67" t="str">
        <f>IF($D221="","",SUMIFS(WORKSHEET!I$3:I$1077,WORKSHEET!$A$3:$A$1077,$C221,WORKSHEET!$D$3:$D$1077,$D221))</f>
        <v/>
      </c>
      <c r="H221" s="63" t="str">
        <f t="shared" si="61"/>
        <v/>
      </c>
      <c r="I221" s="63" t="str">
        <f>IF(OR($D221="",$F221=0),"",COUNTIFS(WORKSHEET!M$3:M$1077,"YES*",WORKSHEET!$A$3:$A$1077,$C221,WORKSHEET!$D$3:$D$1077,$D221))</f>
        <v/>
      </c>
      <c r="J221" s="63" t="str">
        <f>IF(OR($D221="",$F221=0),"",COUNTIFS(WORKSHEET!N$3:N$1077,"YES*",WORKSHEET!$A$3:$A$1077,$C221,WORKSHEET!$D$3:$D$1077,$D221))</f>
        <v/>
      </c>
      <c r="K221" s="63" t="str">
        <f>IF(OR($D221="",$F221=0),"",COUNTIFS(WORKSHEET!O$3:O$1077,"YES*",WORKSHEET!$A$3:$A$1077,$C221,WORKSHEET!$D$3:$D$1077,$D221))</f>
        <v/>
      </c>
      <c r="L221" s="63" t="str">
        <f>IF(OR($D221="",$F221=0),"",COUNTIFS(WORKSHEET!P$3:P$1077,"YES*",WORKSHEET!$A$3:$A$1077,$C221,WORKSHEET!$D$3:$D$1077,$D221))</f>
        <v/>
      </c>
      <c r="M221" s="63"/>
      <c r="N221" s="63"/>
      <c r="O221" s="63"/>
      <c r="P221" s="63"/>
      <c r="Q221" s="63"/>
      <c r="R221" s="63"/>
    </row>
    <row r="222" spans="1:18" ht="14.25" hidden="1">
      <c r="A222" s="42" t="str">
        <f t="shared" si="60"/>
        <v/>
      </c>
      <c r="B222" s="78" t="str">
        <f t="shared" si="58"/>
        <v/>
      </c>
      <c r="C222" s="41" t="str">
        <f t="shared" si="59"/>
        <v>Q4 Shop 2</v>
      </c>
      <c r="D222" s="41" t="str">
        <f>IF(A222="","",VLOOKUP($B222,KEY!$B$6:$D$74,3,FALSE))</f>
        <v/>
      </c>
      <c r="E222" s="53" t="str">
        <f>IFERROR(VLOOKUP($D222,KEY!$K$6:$M$55,3,FALSE),"")</f>
        <v/>
      </c>
      <c r="F222" s="67" t="str">
        <f>IF($D222="","",SUMIFS(WORKSHEET!H$3:H$1077,WORKSHEET!$A$3:$A$1077,$C222,WORKSHEET!$D$3:$D$1077,$D222))</f>
        <v/>
      </c>
      <c r="G222" s="67" t="str">
        <f>IF($D222="","",SUMIFS(WORKSHEET!I$3:I$1077,WORKSHEET!$A$3:$A$1077,$C222,WORKSHEET!$D$3:$D$1077,$D222))</f>
        <v/>
      </c>
      <c r="H222" s="63" t="str">
        <f t="shared" si="61"/>
        <v/>
      </c>
      <c r="I222" s="63" t="str">
        <f>IF(OR($D222="",$F222=0),"",COUNTIFS(WORKSHEET!M$3:M$1077,"YES*",WORKSHEET!$A$3:$A$1077,$C222,WORKSHEET!$D$3:$D$1077,$D222))</f>
        <v/>
      </c>
      <c r="J222" s="63" t="str">
        <f>IF(OR($D222="",$F222=0),"",COUNTIFS(WORKSHEET!N$3:N$1077,"YES*",WORKSHEET!$A$3:$A$1077,$C222,WORKSHEET!$D$3:$D$1077,$D222))</f>
        <v/>
      </c>
      <c r="K222" s="63" t="str">
        <f>IF(OR($D222="",$F222=0),"",COUNTIFS(WORKSHEET!O$3:O$1077,"YES*",WORKSHEET!$A$3:$A$1077,$C222,WORKSHEET!$D$3:$D$1077,$D222))</f>
        <v/>
      </c>
      <c r="L222" s="63" t="str">
        <f>IF(OR($D222="",$F222=0),"",COUNTIFS(WORKSHEET!P$3:P$1077,"YES*",WORKSHEET!$A$3:$A$1077,$C222,WORKSHEET!$D$3:$D$1077,$D222))</f>
        <v/>
      </c>
      <c r="M222" s="63"/>
      <c r="N222" s="63"/>
      <c r="O222" s="63"/>
      <c r="P222" s="63"/>
      <c r="Q222" s="63"/>
      <c r="R222" s="63"/>
    </row>
    <row r="223" spans="1:18" ht="14.25" hidden="1">
      <c r="A223" s="42" t="str">
        <f t="shared" si="60"/>
        <v/>
      </c>
      <c r="B223" s="78" t="str">
        <f t="shared" si="58"/>
        <v/>
      </c>
      <c r="C223" s="41" t="str">
        <f t="shared" si="59"/>
        <v>Q4 Shop 2</v>
      </c>
      <c r="D223" s="41" t="str">
        <f>IF(A223="","",VLOOKUP($B223,KEY!$B$6:$D$74,3,FALSE))</f>
        <v/>
      </c>
      <c r="E223" s="53" t="str">
        <f>IFERROR(VLOOKUP($D223,KEY!$K$6:$M$55,3,FALSE),"")</f>
        <v/>
      </c>
      <c r="F223" s="67" t="str">
        <f>IF($D223="","",SUMIFS(WORKSHEET!H$3:H$1077,WORKSHEET!$A$3:$A$1077,$C223,WORKSHEET!$D$3:$D$1077,$D223))</f>
        <v/>
      </c>
      <c r="G223" s="67" t="str">
        <f>IF($D223="","",SUMIFS(WORKSHEET!I$3:I$1077,WORKSHEET!$A$3:$A$1077,$C223,WORKSHEET!$D$3:$D$1077,$D223))</f>
        <v/>
      </c>
      <c r="H223" s="63" t="str">
        <f t="shared" si="61"/>
        <v/>
      </c>
      <c r="I223" s="63" t="str">
        <f>IF(OR($D223="",$F223=0),"",COUNTIFS(WORKSHEET!M$3:M$1077,"YES*",WORKSHEET!$A$3:$A$1077,$C223,WORKSHEET!$D$3:$D$1077,$D223))</f>
        <v/>
      </c>
      <c r="J223" s="63" t="str">
        <f>IF(OR($D223="",$F223=0),"",COUNTIFS(WORKSHEET!N$3:N$1077,"YES*",WORKSHEET!$A$3:$A$1077,$C223,WORKSHEET!$D$3:$D$1077,$D223))</f>
        <v/>
      </c>
      <c r="K223" s="63" t="str">
        <f>IF(OR($D223="",$F223=0),"",COUNTIFS(WORKSHEET!O$3:O$1077,"YES*",WORKSHEET!$A$3:$A$1077,$C223,WORKSHEET!$D$3:$D$1077,$D223))</f>
        <v/>
      </c>
      <c r="L223" s="63" t="str">
        <f>IF(OR($D223="",$F223=0),"",COUNTIFS(WORKSHEET!P$3:P$1077,"YES*",WORKSHEET!$A$3:$A$1077,$C223,WORKSHEET!$D$3:$D$1077,$D223))</f>
        <v/>
      </c>
      <c r="M223" s="63"/>
      <c r="N223" s="63"/>
      <c r="O223" s="63"/>
      <c r="P223" s="63"/>
      <c r="Q223" s="63"/>
      <c r="R223" s="63"/>
    </row>
    <row r="224" spans="1:18" ht="14.25" hidden="1">
      <c r="A224" s="42" t="str">
        <f t="shared" si="60"/>
        <v/>
      </c>
      <c r="B224" s="78" t="str">
        <f t="shared" si="58"/>
        <v/>
      </c>
      <c r="C224" s="41" t="str">
        <f t="shared" si="59"/>
        <v>Q4 Shop 2</v>
      </c>
      <c r="D224" s="41" t="str">
        <f>IF(A224="","",VLOOKUP($B224,KEY!$B$6:$D$74,3,FALSE))</f>
        <v/>
      </c>
      <c r="E224" s="53" t="str">
        <f>IFERROR(VLOOKUP($D224,KEY!$K$6:$M$55,3,FALSE),"")</f>
        <v/>
      </c>
      <c r="F224" s="67" t="str">
        <f>IF($D224="","",SUMIFS(WORKSHEET!H$3:H$1077,WORKSHEET!$A$3:$A$1077,$C224,WORKSHEET!$D$3:$D$1077,$D224))</f>
        <v/>
      </c>
      <c r="G224" s="67" t="str">
        <f>IF($D224="","",SUMIFS(WORKSHEET!I$3:I$1077,WORKSHEET!$A$3:$A$1077,$C224,WORKSHEET!$D$3:$D$1077,$D224))</f>
        <v/>
      </c>
      <c r="H224" s="63" t="str">
        <f t="shared" si="61"/>
        <v/>
      </c>
      <c r="I224" s="63" t="str">
        <f>IF(OR($D224="",$F224=0),"",COUNTIFS(WORKSHEET!M$3:M$1077,"YES*",WORKSHEET!$A$3:$A$1077,$C224,WORKSHEET!$D$3:$D$1077,$D224))</f>
        <v/>
      </c>
      <c r="J224" s="63" t="str">
        <f>IF(OR($D224="",$F224=0),"",COUNTIFS(WORKSHEET!N$3:N$1077,"YES*",WORKSHEET!$A$3:$A$1077,$C224,WORKSHEET!$D$3:$D$1077,$D224))</f>
        <v/>
      </c>
      <c r="K224" s="63" t="str">
        <f>IF(OR($D224="",$F224=0),"",COUNTIFS(WORKSHEET!O$3:O$1077,"YES*",WORKSHEET!$A$3:$A$1077,$C224,WORKSHEET!$D$3:$D$1077,$D224))</f>
        <v/>
      </c>
      <c r="L224" s="63" t="str">
        <f>IF(OR($D224="",$F224=0),"",COUNTIFS(WORKSHEET!P$3:P$1077,"YES*",WORKSHEET!$A$3:$A$1077,$C224,WORKSHEET!$D$3:$D$1077,$D224))</f>
        <v/>
      </c>
      <c r="M224" s="63"/>
      <c r="N224" s="63"/>
      <c r="O224" s="63"/>
      <c r="P224" s="63"/>
      <c r="Q224" s="63"/>
      <c r="R224" s="63"/>
    </row>
    <row r="225" spans="1:18" ht="14.25" hidden="1">
      <c r="A225" s="42" t="str">
        <f t="shared" si="60"/>
        <v/>
      </c>
      <c r="B225" s="78" t="str">
        <f t="shared" si="58"/>
        <v/>
      </c>
      <c r="C225" s="41" t="str">
        <f t="shared" si="59"/>
        <v>Q4 Shop 2</v>
      </c>
      <c r="D225" s="41" t="str">
        <f>IF(A225="","",VLOOKUP($B225,KEY!$B$6:$D$74,3,FALSE))</f>
        <v/>
      </c>
      <c r="E225" s="53" t="str">
        <f>IFERROR(VLOOKUP($D225,KEY!$K$6:$M$55,3,FALSE),"")</f>
        <v/>
      </c>
      <c r="F225" s="67" t="str">
        <f>IF($D225="","",SUMIFS(WORKSHEET!H$3:H$1077,WORKSHEET!$A$3:$A$1077,$C225,WORKSHEET!$D$3:$D$1077,$D225))</f>
        <v/>
      </c>
      <c r="G225" s="67" t="str">
        <f>IF($D225="","",SUMIFS(WORKSHEET!I$3:I$1077,WORKSHEET!$A$3:$A$1077,$C225,WORKSHEET!$D$3:$D$1077,$D225))</f>
        <v/>
      </c>
      <c r="H225" s="63" t="str">
        <f t="shared" si="61"/>
        <v/>
      </c>
      <c r="I225" s="63" t="str">
        <f>IF(OR($D225="",$F225=0),"",COUNTIFS(WORKSHEET!M$3:M$1077,"YES*",WORKSHEET!$A$3:$A$1077,$C225,WORKSHEET!$D$3:$D$1077,$D225))</f>
        <v/>
      </c>
      <c r="J225" s="63" t="str">
        <f>IF(OR($D225="",$F225=0),"",COUNTIFS(WORKSHEET!N$3:N$1077,"YES*",WORKSHEET!$A$3:$A$1077,$C225,WORKSHEET!$D$3:$D$1077,$D225))</f>
        <v/>
      </c>
      <c r="K225" s="63" t="str">
        <f>IF(OR($D225="",$F225=0),"",COUNTIFS(WORKSHEET!O$3:O$1077,"YES*",WORKSHEET!$A$3:$A$1077,$C225,WORKSHEET!$D$3:$D$1077,$D225))</f>
        <v/>
      </c>
      <c r="L225" s="63" t="str">
        <f>IF(OR($D225="",$F225=0),"",COUNTIFS(WORKSHEET!P$3:P$1077,"YES*",WORKSHEET!$A$3:$A$1077,$C225,WORKSHEET!$D$3:$D$1077,$D225))</f>
        <v/>
      </c>
      <c r="M225" s="63"/>
      <c r="N225" s="63"/>
      <c r="O225" s="63"/>
      <c r="P225" s="63"/>
      <c r="Q225" s="63"/>
      <c r="R225" s="63"/>
    </row>
    <row r="226" spans="1:18" ht="14.25" hidden="1">
      <c r="A226" s="42" t="str">
        <f t="shared" si="60"/>
        <v/>
      </c>
      <c r="B226" s="78" t="str">
        <f t="shared" si="58"/>
        <v/>
      </c>
      <c r="C226" s="41" t="str">
        <f t="shared" si="59"/>
        <v>Q4 Shop 2</v>
      </c>
      <c r="D226" s="41" t="str">
        <f>IF(A226="","",VLOOKUP($B226,KEY!$B$6:$D$74,3,FALSE))</f>
        <v/>
      </c>
      <c r="E226" s="53" t="str">
        <f>IFERROR(VLOOKUP($D226,KEY!$K$6:$M$55,3,FALSE),"")</f>
        <v/>
      </c>
      <c r="F226" s="67" t="str">
        <f>IF($D226="","",SUMIFS(WORKSHEET!H$3:H$1077,WORKSHEET!$A$3:$A$1077,$C226,WORKSHEET!$D$3:$D$1077,$D226))</f>
        <v/>
      </c>
      <c r="G226" s="67" t="str">
        <f>IF($D226="","",SUMIFS(WORKSHEET!I$3:I$1077,WORKSHEET!$A$3:$A$1077,$C226,WORKSHEET!$D$3:$D$1077,$D226))</f>
        <v/>
      </c>
      <c r="H226" s="63" t="str">
        <f t="shared" si="61"/>
        <v/>
      </c>
      <c r="I226" s="63" t="str">
        <f>IF(OR($D226="",$F226=0),"",COUNTIFS(WORKSHEET!M$3:M$1077,"YES*",WORKSHEET!$A$3:$A$1077,$C226,WORKSHEET!$D$3:$D$1077,$D226))</f>
        <v/>
      </c>
      <c r="J226" s="63" t="str">
        <f>IF(OR($D226="",$F226=0),"",COUNTIFS(WORKSHEET!N$3:N$1077,"YES*",WORKSHEET!$A$3:$A$1077,$C226,WORKSHEET!$D$3:$D$1077,$D226))</f>
        <v/>
      </c>
      <c r="K226" s="63" t="str">
        <f>IF(OR($D226="",$F226=0),"",COUNTIFS(WORKSHEET!O$3:O$1077,"YES*",WORKSHEET!$A$3:$A$1077,$C226,WORKSHEET!$D$3:$D$1077,$D226))</f>
        <v/>
      </c>
      <c r="L226" s="63" t="str">
        <f>IF(OR($D226="",$F226=0),"",COUNTIFS(WORKSHEET!P$3:P$1077,"YES*",WORKSHEET!$A$3:$A$1077,$C226,WORKSHEET!$D$3:$D$1077,$D226))</f>
        <v/>
      </c>
      <c r="M226" s="63"/>
      <c r="N226" s="63"/>
      <c r="O226" s="63"/>
      <c r="P226" s="63"/>
      <c r="Q226" s="63"/>
      <c r="R226" s="63"/>
    </row>
    <row r="227" spans="1:18" s="56" customFormat="1" ht="18" hidden="1" customHeight="1">
      <c r="A227" s="76" t="s">
        <v>27</v>
      </c>
      <c r="B227" s="79"/>
      <c r="C227" s="56" t="str">
        <f t="shared" si="59"/>
        <v>Q4 Shop 2</v>
      </c>
      <c r="D227" s="56" t="str">
        <f>D171</f>
        <v>Arizona</v>
      </c>
      <c r="E227" s="64">
        <f>E200</f>
        <v>0</v>
      </c>
      <c r="F227" s="68">
        <f>SUM(F202:F226)</f>
        <v>72</v>
      </c>
      <c r="G227" s="68">
        <f>SUM(G202:G226)</f>
        <v>66</v>
      </c>
      <c r="H227" s="66">
        <f t="shared" ref="H227" si="62">IF($D227="","",G227/F227)</f>
        <v>0.91666666666666663</v>
      </c>
      <c r="I227" s="66">
        <f>IF($D227="","",COUNTIFS(WORKSHEET!M$3:M$1077,"YES*",WORKSHEET!$A$3:$A$1077,$C227,WORKSHEET!$E$3:$E$1077,$D227)/COUNTIFS(WORKSHEET!$A$3:$A$1077,$C227,WORKSHEET!$E$3:$E$1077,$D227))</f>
        <v>0.94444444444444442</v>
      </c>
      <c r="J227" s="66">
        <f>IF($D227="","",COUNTIFS(WORKSHEET!N$3:N$1077,"YES*",WORKSHEET!$A$3:$A$1077,$C227,WORKSHEET!$E$3:$E$1077,$D227)/COUNTIFS(WORKSHEET!$A$3:$A$1077,$C227,WORKSHEET!$E$3:$E$1077,$D227))</f>
        <v>0.88888888888888884</v>
      </c>
      <c r="K227" s="66">
        <f>IF($D227="","",COUNTIFS(WORKSHEET!O$3:O$1077,"YES*",WORKSHEET!$A$3:$A$1077,$C227,WORKSHEET!$E$3:$E$1077,$D227)/COUNTIFS(WORKSHEET!$A$3:$A$1077,$C227,WORKSHEET!$E$3:$E$1077,$D227))</f>
        <v>0.94444444444444442</v>
      </c>
      <c r="L227" s="66">
        <f>IF($D227="","",COUNTIFS(WORKSHEET!P$3:P$1077,"YES*",WORKSHEET!$A$3:$A$1077,$C227,WORKSHEET!$E$3:$E$1077,$D227)/COUNTIFS(WORKSHEET!$A$3:$A$1077,$C227,WORKSHEET!$E$3:$E$1077,$D227))</f>
        <v>0.88888888888888884</v>
      </c>
      <c r="M227" s="66"/>
      <c r="N227" s="66"/>
      <c r="O227" s="66"/>
      <c r="P227" s="66"/>
      <c r="Q227" s="66"/>
      <c r="R227" s="66"/>
    </row>
    <row r="228" spans="1:18" hidden="1"/>
    <row r="229" spans="1:18" ht="14.25">
      <c r="A229" s="145"/>
      <c r="B229" s="65"/>
      <c r="D229" s="53"/>
      <c r="E229" s="53"/>
      <c r="G229" s="53"/>
      <c r="H229" s="53"/>
      <c r="I229" s="53"/>
      <c r="J229" s="53"/>
      <c r="K229" s="53"/>
      <c r="L229" s="53"/>
      <c r="M229" s="53"/>
      <c r="N229" s="53"/>
    </row>
  </sheetData>
  <mergeCells count="58">
    <mergeCell ref="D38:D39"/>
    <mergeCell ref="D40:D41"/>
    <mergeCell ref="D42:D43"/>
    <mergeCell ref="D44:D45"/>
    <mergeCell ref="D46:D47"/>
    <mergeCell ref="D58:D59"/>
    <mergeCell ref="D60:D61"/>
    <mergeCell ref="D48:D49"/>
    <mergeCell ref="D50:D51"/>
    <mergeCell ref="D52:D53"/>
    <mergeCell ref="D54:D55"/>
    <mergeCell ref="D56:D57"/>
    <mergeCell ref="D34:D35"/>
    <mergeCell ref="D36:D37"/>
    <mergeCell ref="D18:D19"/>
    <mergeCell ref="D20:D21"/>
    <mergeCell ref="D22:D23"/>
    <mergeCell ref="D24:D25"/>
    <mergeCell ref="D26:D27"/>
    <mergeCell ref="D28:D29"/>
    <mergeCell ref="D30:D31"/>
    <mergeCell ref="D32:D33"/>
    <mergeCell ref="B9:C10"/>
    <mergeCell ref="D9:D10"/>
    <mergeCell ref="D12:D13"/>
    <mergeCell ref="D14:D15"/>
    <mergeCell ref="D16:D17"/>
    <mergeCell ref="B60:C61"/>
    <mergeCell ref="B58:C59"/>
    <mergeCell ref="B56:C57"/>
    <mergeCell ref="B54:C55"/>
    <mergeCell ref="B52:C53"/>
    <mergeCell ref="B50:C51"/>
    <mergeCell ref="B48:C49"/>
    <mergeCell ref="B46:C47"/>
    <mergeCell ref="B44:C45"/>
    <mergeCell ref="B42:C43"/>
    <mergeCell ref="B40:C41"/>
    <mergeCell ref="B38:C39"/>
    <mergeCell ref="B36:C37"/>
    <mergeCell ref="B34:C35"/>
    <mergeCell ref="B32:C33"/>
    <mergeCell ref="AK65:AR65"/>
    <mergeCell ref="B1:C1"/>
    <mergeCell ref="D1:G1"/>
    <mergeCell ref="D65:I65"/>
    <mergeCell ref="U65:AB65"/>
    <mergeCell ref="AC65:AJ65"/>
    <mergeCell ref="B20:C21"/>
    <mergeCell ref="B18:C19"/>
    <mergeCell ref="B16:C17"/>
    <mergeCell ref="B14:C15"/>
    <mergeCell ref="B12:C13"/>
    <mergeCell ref="B30:C31"/>
    <mergeCell ref="B28:C29"/>
    <mergeCell ref="B26:C27"/>
    <mergeCell ref="B24:C25"/>
    <mergeCell ref="B22:C23"/>
  </mergeCells>
  <conditionalFormatting sqref="B12:D61">
    <cfRule type="containsBlanks" dxfId="9" priority="3">
      <formula>LEN(TRIM(B12))=0</formula>
    </cfRule>
  </conditionalFormatting>
  <conditionalFormatting sqref="D12">
    <cfRule type="colorScale" priority="35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D14">
    <cfRule type="colorScale" priority="27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D16">
    <cfRule type="colorScale" priority="26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D18">
    <cfRule type="colorScale" priority="25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D20">
    <cfRule type="colorScale" priority="24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D22">
    <cfRule type="colorScale" priority="23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D24">
    <cfRule type="colorScale" priority="22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D26">
    <cfRule type="colorScale" priority="21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D28">
    <cfRule type="colorScale" priority="20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D30">
    <cfRule type="colorScale" priority="19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D32">
    <cfRule type="colorScale" priority="18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D34">
    <cfRule type="colorScale" priority="17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D36">
    <cfRule type="colorScale" priority="16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D38">
    <cfRule type="colorScale" priority="15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D40">
    <cfRule type="colorScale" priority="14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D42">
    <cfRule type="colorScale" priority="13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D44">
    <cfRule type="colorScale" priority="12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D46">
    <cfRule type="colorScale" priority="11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D48">
    <cfRule type="colorScale" priority="10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D50">
    <cfRule type="colorScale" priority="9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D52">
    <cfRule type="colorScale" priority="8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D54">
    <cfRule type="colorScale" priority="7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D56">
    <cfRule type="colorScale" priority="6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D58">
    <cfRule type="colorScale" priority="5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D60">
    <cfRule type="colorScale" priority="4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F12:K61">
    <cfRule type="containsBlanks" dxfId="8" priority="2">
      <formula>LEN(TRIM(F12))=0</formula>
    </cfRule>
  </conditionalFormatting>
  <conditionalFormatting sqref="G9:G10">
    <cfRule type="colorScale" priority="37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G12:G61">
    <cfRule type="colorScale" priority="90">
      <colorScale>
        <cfvo type="num" val="0.4"/>
        <cfvo type="num" val="0.75"/>
        <cfvo type="num" val="1"/>
        <color rgb="FFFF3437"/>
        <color rgb="FFFFFF00"/>
        <color rgb="FF00B050"/>
      </colorScale>
    </cfRule>
  </conditionalFormatting>
  <conditionalFormatting sqref="H9:K10 D9">
    <cfRule type="colorScale" priority="74">
      <colorScale>
        <cfvo type="num" val="0.4"/>
        <cfvo type="num" val="0.75"/>
        <cfvo type="num" val="1"/>
        <color rgb="FFFF0000"/>
        <color rgb="FFFFFF00"/>
        <color rgb="FF00B050"/>
      </colorScale>
    </cfRule>
  </conditionalFormatting>
  <conditionalFormatting sqref="H12:K61">
    <cfRule type="expression" dxfId="7" priority="36">
      <formula>O12=0</formula>
    </cfRule>
    <cfRule type="cellIs" dxfId="6" priority="1" stopIfTrue="1" operator="equal">
      <formula>"-"</formula>
    </cfRule>
    <cfRule type="expression" dxfId="5" priority="112" stopIfTrue="1">
      <formula>O12=1</formula>
    </cfRule>
    <cfRule type="expression" dxfId="4" priority="113">
      <formula>O12=2</formula>
    </cfRule>
  </conditionalFormatting>
  <pageMargins left="0.7" right="0.7" top="0.75" bottom="0.75" header="0.3" footer="0.3"/>
  <pageSetup scale="51" orientation="portrait" horizontalDpi="0" verticalDpi="0"/>
  <ignoredErrors>
    <ignoredError sqref="F13:F60 A13:A6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682C67B-81DB-9E4C-9BEA-8AFB5CAF6F25}">
          <x14:formula1>
            <xm:f>KEY!$K$7:$K$14</xm:f>
          </x14:formula1>
          <xm:sqref>D1:G1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B8F83-09B4-BF42-909F-6CE856EB0791}">
  <sheetPr>
    <pageSetUpPr fitToPage="1"/>
  </sheetPr>
  <dimension ref="A1:AG183"/>
  <sheetViews>
    <sheetView workbookViewId="0">
      <selection activeCell="G12" sqref="G12"/>
    </sheetView>
  </sheetViews>
  <sheetFormatPr defaultColWidth="11" defaultRowHeight="15.75"/>
  <cols>
    <col min="1" max="1" width="1.875" customWidth="1"/>
    <col min="2" max="2" width="14.875" customWidth="1"/>
    <col min="3" max="5" width="14.375" customWidth="1"/>
    <col min="6" max="7" width="18.375" customWidth="1"/>
    <col min="8" max="9" width="14.375" customWidth="1"/>
    <col min="10" max="10" width="13.375" customWidth="1"/>
    <col min="11" max="11" width="13.375" style="27" hidden="1" customWidth="1"/>
    <col min="12" max="16" width="13.375" hidden="1" customWidth="1"/>
    <col min="17" max="17" width="13.375" customWidth="1"/>
    <col min="18" max="18" width="13.375" style="102" customWidth="1"/>
    <col min="19" max="26" width="13.375" customWidth="1"/>
  </cols>
  <sheetData>
    <row r="1" spans="1:32" ht="39.950000000000003" customHeight="1" thickBot="1">
      <c r="A1" s="26"/>
      <c r="B1" s="217" t="s">
        <v>34</v>
      </c>
      <c r="C1" s="218"/>
      <c r="D1" s="206" t="s">
        <v>35</v>
      </c>
      <c r="E1" s="207"/>
      <c r="F1" s="207"/>
      <c r="G1" s="208"/>
      <c r="H1" s="146"/>
      <c r="I1" s="147"/>
      <c r="J1" s="22"/>
      <c r="K1" s="26"/>
      <c r="L1" s="22"/>
      <c r="M1" s="22"/>
      <c r="N1" s="41"/>
      <c r="O1" s="41"/>
      <c r="P1" s="41"/>
      <c r="Q1" s="41"/>
      <c r="R1" s="41"/>
      <c r="S1" s="26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</row>
    <row r="2" spans="1:32" ht="20.100000000000001" customHeight="1">
      <c r="A2" s="22"/>
      <c r="B2" s="1"/>
      <c r="C2" s="1" t="s">
        <v>29</v>
      </c>
      <c r="D2" s="2" t="e">
        <v>#VALUE!</v>
      </c>
      <c r="E2" s="3"/>
      <c r="F2" s="4"/>
      <c r="G2" s="4"/>
      <c r="H2" s="4"/>
      <c r="I2" s="4"/>
      <c r="J2" s="4"/>
      <c r="K2" s="1"/>
      <c r="L2" s="41"/>
      <c r="M2" s="4"/>
      <c r="N2" s="41"/>
      <c r="O2" s="41"/>
      <c r="P2" s="41"/>
      <c r="Q2" s="41"/>
      <c r="R2" s="41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pans="1:32" ht="30.75">
      <c r="A3" s="22"/>
      <c r="B3" s="62" t="s">
        <v>36</v>
      </c>
      <c r="C3" s="91"/>
      <c r="D3" s="91"/>
      <c r="E3" s="91"/>
      <c r="F3" s="91"/>
      <c r="G3" s="91"/>
      <c r="H3" s="91"/>
      <c r="I3" s="91"/>
      <c r="J3" s="91"/>
      <c r="K3" s="91"/>
      <c r="L3" s="41"/>
      <c r="M3" s="91"/>
      <c r="N3" s="41"/>
      <c r="O3" s="41"/>
      <c r="P3" s="41"/>
      <c r="Q3" s="41"/>
      <c r="R3" s="41"/>
      <c r="S3" s="91"/>
      <c r="T3" s="91"/>
      <c r="U3" s="91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</row>
    <row r="4" spans="1:32" s="41" customFormat="1" ht="27.95" customHeight="1">
      <c r="A4" s="72"/>
      <c r="B4" s="61" t="str">
        <f>WEST!B3</f>
        <v>Reporting Period: 2025 - Q4</v>
      </c>
      <c r="C4" s="44"/>
    </row>
    <row r="5" spans="1:32" s="41" customFormat="1" ht="15.95" customHeight="1">
      <c r="A5" s="72"/>
      <c r="B5" s="103"/>
      <c r="C5" s="45"/>
    </row>
    <row r="6" spans="1:32" s="97" customFormat="1" ht="15.95" customHeight="1">
      <c r="A6" s="93"/>
      <c r="B6" s="94"/>
      <c r="C6" s="94"/>
      <c r="D6" s="94"/>
      <c r="E6" s="94"/>
      <c r="F6" s="95"/>
      <c r="G6" s="95"/>
      <c r="H6" s="95"/>
      <c r="I6" s="93"/>
      <c r="J6" s="96"/>
      <c r="K6" s="93"/>
      <c r="L6" s="93"/>
      <c r="M6" s="93"/>
      <c r="N6" s="93"/>
      <c r="O6" s="93"/>
      <c r="P6" s="93"/>
      <c r="Q6" s="99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</row>
    <row r="7" spans="1:32" s="97" customFormat="1" ht="32.1" customHeight="1" thickBot="1">
      <c r="A7" s="93"/>
      <c r="B7" s="219" t="s">
        <v>37</v>
      </c>
      <c r="C7" s="219"/>
      <c r="D7" s="219"/>
      <c r="E7" s="219"/>
      <c r="F7" s="148" t="s">
        <v>8</v>
      </c>
      <c r="G7" s="149" t="s">
        <v>9</v>
      </c>
      <c r="H7" s="93"/>
      <c r="I7" s="93"/>
      <c r="J7" s="93"/>
      <c r="K7" s="96" t="s">
        <v>38</v>
      </c>
      <c r="L7" s="96" t="s">
        <v>38</v>
      </c>
      <c r="M7" s="93"/>
      <c r="N7" s="93"/>
      <c r="O7" s="93" t="str">
        <f>$C$142&amp;" Shop 1"</f>
        <v>Q4 Shop 1</v>
      </c>
      <c r="P7" s="93" t="str">
        <f>$C$142&amp;" Shop 2"</f>
        <v>Q4 Shop 2</v>
      </c>
      <c r="Q7" s="93"/>
      <c r="R7" s="99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</row>
    <row r="8" spans="1:32" s="97" customFormat="1" ht="48" customHeight="1" thickTop="1">
      <c r="A8" s="93"/>
      <c r="B8" s="220" t="s">
        <v>39</v>
      </c>
      <c r="C8" s="221"/>
      <c r="D8" s="221"/>
      <c r="E8" s="222"/>
      <c r="F8" s="116" t="str">
        <f>IF(K8=2,"✓",IF(K8=1,"✗",""))</f>
        <v>✓</v>
      </c>
      <c r="G8" s="117" t="str">
        <f>IF(L8=2,"✓",IF(L8=1,"✗","-"))</f>
        <v>✓</v>
      </c>
      <c r="H8" s="93"/>
      <c r="I8" s="93"/>
      <c r="J8" s="93"/>
      <c r="K8" s="48">
        <f t="shared" ref="K8:L11" si="0">IF(O8="YES",2,IF(O8="NO",1,0))</f>
        <v>2</v>
      </c>
      <c r="L8" s="48">
        <f t="shared" si="0"/>
        <v>2</v>
      </c>
      <c r="M8" s="93"/>
      <c r="N8" s="93"/>
      <c r="O8" s="112" t="str">
        <f>IFERROR(VLOOKUP(O$7,$C$145:$J$152,5,FALSE),"")</f>
        <v>YES</v>
      </c>
      <c r="P8" s="112" t="str">
        <f>IFERROR(VLOOKUP(P$7,$C$145:$J$152,5,FALSE),"")</f>
        <v>YES</v>
      </c>
      <c r="Q8" s="93"/>
      <c r="R8" s="99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</row>
    <row r="9" spans="1:32" s="97" customFormat="1" ht="48" customHeight="1">
      <c r="A9" s="93"/>
      <c r="B9" s="228" t="s">
        <v>40</v>
      </c>
      <c r="C9" s="229"/>
      <c r="D9" s="229"/>
      <c r="E9" s="230"/>
      <c r="F9" s="116" t="str">
        <f t="shared" ref="F9:F11" si="1">IF(K9=2,"✓",IF(K9=1,"✗",""))</f>
        <v>✓</v>
      </c>
      <c r="G9" s="117" t="str">
        <f>IF(L9=2,"✓",IF(L9=1,"✗","-"))</f>
        <v>✓</v>
      </c>
      <c r="H9" s="93"/>
      <c r="I9" s="93"/>
      <c r="J9" s="93"/>
      <c r="K9" s="48">
        <f t="shared" si="0"/>
        <v>2</v>
      </c>
      <c r="L9" s="48">
        <f t="shared" si="0"/>
        <v>2</v>
      </c>
      <c r="M9" s="93"/>
      <c r="N9" s="93"/>
      <c r="O9" s="112" t="str">
        <f>IFERROR(VLOOKUP(O$7,$C$145:$J$152,6,FALSE),"")</f>
        <v>YES</v>
      </c>
      <c r="P9" s="112" t="str">
        <f>IFERROR(VLOOKUP(P$7,$C$145:$J$152,6,FALSE),"")</f>
        <v>YES</v>
      </c>
      <c r="Q9" s="93"/>
      <c r="R9" s="99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</row>
    <row r="10" spans="1:32" s="97" customFormat="1" ht="48" customHeight="1">
      <c r="A10" s="93"/>
      <c r="B10" s="228" t="s">
        <v>41</v>
      </c>
      <c r="C10" s="229"/>
      <c r="D10" s="229"/>
      <c r="E10" s="230"/>
      <c r="F10" s="116" t="str">
        <f t="shared" si="1"/>
        <v>✓</v>
      </c>
      <c r="G10" s="117" t="str">
        <f>IF(L10=2,"✓",IF(L10=1,"✗","-"))</f>
        <v>✓</v>
      </c>
      <c r="H10" s="93"/>
      <c r="I10" s="93"/>
      <c r="J10" s="93"/>
      <c r="K10" s="48">
        <f t="shared" si="0"/>
        <v>2</v>
      </c>
      <c r="L10" s="48">
        <f t="shared" si="0"/>
        <v>2</v>
      </c>
      <c r="M10" s="93"/>
      <c r="N10" s="93"/>
      <c r="O10" s="112" t="str">
        <f>IFERROR(VLOOKUP(O$7,$C$145:$J$152,7,FALSE),"")</f>
        <v>YES</v>
      </c>
      <c r="P10" s="112" t="str">
        <f>IFERROR(VLOOKUP(P$7,$C$145:$J$152,7,FALSE),"")</f>
        <v>YES</v>
      </c>
      <c r="Q10" s="93"/>
      <c r="R10" s="99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</row>
    <row r="11" spans="1:32" s="97" customFormat="1" ht="48" customHeight="1" thickBot="1">
      <c r="A11" s="93"/>
      <c r="B11" s="234" t="s">
        <v>6</v>
      </c>
      <c r="C11" s="235"/>
      <c r="D11" s="235"/>
      <c r="E11" s="236"/>
      <c r="F11" s="166" t="str">
        <f t="shared" si="1"/>
        <v>✓</v>
      </c>
      <c r="G11" s="167" t="str">
        <f>IF(L11=2,"✓",IF(L11=1,"✗","-"))</f>
        <v>✓</v>
      </c>
      <c r="H11" s="93"/>
      <c r="I11" s="93"/>
      <c r="J11" s="93"/>
      <c r="K11" s="48">
        <f t="shared" si="0"/>
        <v>2</v>
      </c>
      <c r="L11" s="48">
        <f t="shared" si="0"/>
        <v>2</v>
      </c>
      <c r="M11" s="93"/>
      <c r="N11" s="93"/>
      <c r="O11" s="112" t="str">
        <f>IFERROR(VLOOKUP(O$7,$C$145:$J$152,8,FALSE),"")</f>
        <v>YES</v>
      </c>
      <c r="P11" s="112" t="str">
        <f>IFERROR(VLOOKUP(P$7,$C$145:$J$152,8,FALSE),"")</f>
        <v>YES</v>
      </c>
      <c r="Q11" s="93"/>
      <c r="R11" s="99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</row>
    <row r="12" spans="1:32" s="97" customFormat="1" ht="48" customHeight="1" thickTop="1" thickBot="1">
      <c r="A12" s="93"/>
      <c r="B12" s="231" t="s">
        <v>32</v>
      </c>
      <c r="C12" s="232"/>
      <c r="D12" s="232"/>
      <c r="E12" s="233"/>
      <c r="F12" s="164">
        <f>O12</f>
        <v>1</v>
      </c>
      <c r="G12" s="165">
        <f>IFERROR(P12,"-")</f>
        <v>1</v>
      </c>
      <c r="H12" s="93"/>
      <c r="I12" s="93"/>
      <c r="J12" s="92"/>
      <c r="K12" s="48">
        <f>IF(SUM(K8:K11)=0,0,SUM(K8:K11)-4)</f>
        <v>4</v>
      </c>
      <c r="L12" s="48">
        <f>IF(SUM(L8:L11)=0,0,SUM(L8:L11)-4)</f>
        <v>4</v>
      </c>
      <c r="M12" s="48">
        <f>IF(SUM(K8:K11)=0,0,4)</f>
        <v>4</v>
      </c>
      <c r="N12" s="48">
        <f>IF(SUM(L8:L11)=0,0,4)</f>
        <v>4</v>
      </c>
      <c r="O12" s="115">
        <f>K12/M12</f>
        <v>1</v>
      </c>
      <c r="P12" s="115">
        <f>L12/N12</f>
        <v>1</v>
      </c>
      <c r="Q12" s="93"/>
      <c r="R12" s="98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</row>
    <row r="13" spans="1:32" s="97" customFormat="1" ht="60" customHeight="1" thickTop="1">
      <c r="A13" s="93"/>
      <c r="B13" s="223" t="str">
        <f>$C$142&amp;" Average"</f>
        <v>Q4 Average</v>
      </c>
      <c r="C13" s="224"/>
      <c r="D13" s="224"/>
      <c r="E13" s="225"/>
      <c r="F13" s="226">
        <f>(K12+L12)/(M12+N12)</f>
        <v>1</v>
      </c>
      <c r="G13" s="227"/>
      <c r="H13" s="93"/>
      <c r="I13" s="93"/>
      <c r="J13" s="92"/>
      <c r="K13" s="48">
        <f>IF(SUM(K9:K12)=0,0,SUM(K9:K12)-4)</f>
        <v>6</v>
      </c>
      <c r="L13" s="48">
        <f>IF(SUM(L9:L12)=0,0,SUM(L9:L12)-4)</f>
        <v>6</v>
      </c>
      <c r="M13" s="48">
        <f>IF(SUM(K9:K12)=0,0,4)</f>
        <v>4</v>
      </c>
      <c r="N13" s="48">
        <f>IF(SUM(L9:L12)=0,0,4)</f>
        <v>4</v>
      </c>
      <c r="O13" s="115">
        <f>K13/M13</f>
        <v>1.5</v>
      </c>
      <c r="P13" s="115">
        <f>L13/N13</f>
        <v>1.5</v>
      </c>
      <c r="Q13" s="93"/>
      <c r="R13" s="98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</row>
    <row r="14" spans="1:32" s="97" customFormat="1" ht="15.95" customHeight="1">
      <c r="A14" s="93"/>
      <c r="B14" s="22"/>
      <c r="C14" s="22"/>
      <c r="D14" s="22"/>
      <c r="E14" s="22"/>
      <c r="F14" s="22"/>
      <c r="G14" s="22"/>
      <c r="H14" s="22"/>
      <c r="I14" s="22"/>
      <c r="J14" s="93"/>
      <c r="K14" s="93"/>
      <c r="L14" s="93"/>
      <c r="M14" s="93"/>
      <c r="N14" s="93"/>
      <c r="O14" s="93"/>
      <c r="P14" s="93"/>
      <c r="Q14" s="98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</row>
    <row r="15" spans="1:32" s="97" customFormat="1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98"/>
      <c r="R15" s="22"/>
      <c r="S15" s="22"/>
      <c r="T15" s="22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</row>
    <row r="16" spans="1:3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98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</row>
    <row r="17" spans="1:3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98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</row>
    <row r="18" spans="1:3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98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</row>
    <row r="19" spans="1:3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98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</row>
    <row r="20" spans="1:3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98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</row>
    <row r="21" spans="1:3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98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</row>
    <row r="22" spans="1:3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98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</row>
    <row r="23" spans="1:3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98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</row>
    <row r="24" spans="1:3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6"/>
      <c r="L24" s="22"/>
      <c r="M24" s="22"/>
      <c r="N24" s="22"/>
      <c r="O24" s="22"/>
      <c r="P24" s="22"/>
      <c r="Q24" s="22"/>
      <c r="R24" s="98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</row>
    <row r="25" spans="1:3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6"/>
      <c r="L25" s="22"/>
      <c r="M25" s="22"/>
      <c r="N25" s="22"/>
      <c r="O25" s="22"/>
      <c r="P25" s="22"/>
      <c r="Q25" s="22"/>
      <c r="R25" s="98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</row>
    <row r="26" spans="1:3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6"/>
      <c r="L26" s="22"/>
      <c r="M26" s="22"/>
      <c r="N26" s="22"/>
      <c r="O26" s="22"/>
      <c r="P26" s="22"/>
      <c r="Q26" s="22"/>
      <c r="R26" s="98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</row>
    <row r="27" spans="1:3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6"/>
      <c r="L27" s="22"/>
      <c r="M27" s="22"/>
      <c r="N27" s="22"/>
      <c r="O27" s="22"/>
      <c r="P27" s="22"/>
      <c r="Q27" s="22"/>
      <c r="R27" s="98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</row>
    <row r="28" spans="1:3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6"/>
      <c r="L28" s="22"/>
      <c r="M28" s="22"/>
      <c r="N28" s="22"/>
      <c r="O28" s="22"/>
      <c r="P28" s="22"/>
      <c r="Q28" s="22"/>
      <c r="R28" s="98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</row>
    <row r="29" spans="1:3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6"/>
      <c r="L29" s="22"/>
      <c r="M29" s="22"/>
      <c r="N29" s="22"/>
      <c r="O29" s="22"/>
      <c r="P29" s="22"/>
      <c r="Q29" s="22"/>
      <c r="R29" s="98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</row>
    <row r="30" spans="1:3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6"/>
      <c r="L30" s="22"/>
      <c r="M30" s="22"/>
      <c r="N30" s="22"/>
      <c r="O30" s="22"/>
      <c r="P30" s="22"/>
      <c r="Q30" s="22"/>
      <c r="R30" s="98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</row>
    <row r="31" spans="1:3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6"/>
      <c r="L31" s="22"/>
      <c r="M31" s="22"/>
      <c r="N31" s="22"/>
      <c r="O31" s="22"/>
      <c r="P31" s="22"/>
      <c r="Q31" s="22"/>
      <c r="R31" s="98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</row>
    <row r="32" spans="1:3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6"/>
      <c r="L32" s="22"/>
      <c r="M32" s="22"/>
      <c r="N32" s="22"/>
      <c r="O32" s="22"/>
      <c r="P32" s="22"/>
      <c r="Q32" s="22"/>
      <c r="R32" s="98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</row>
    <row r="33" spans="1:3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6"/>
      <c r="L33" s="22"/>
      <c r="M33" s="22"/>
      <c r="N33" s="22"/>
      <c r="O33" s="22"/>
      <c r="P33" s="22"/>
      <c r="Q33" s="22"/>
      <c r="R33" s="98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</row>
    <row r="34" spans="1:3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6"/>
      <c r="L34" s="22"/>
      <c r="M34" s="22"/>
      <c r="N34" s="22"/>
      <c r="O34" s="22"/>
      <c r="P34" s="22"/>
      <c r="Q34" s="22"/>
      <c r="R34" s="98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</row>
    <row r="35" spans="1:3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6"/>
      <c r="L35" s="22"/>
      <c r="M35" s="22"/>
      <c r="N35" s="22"/>
      <c r="O35" s="22"/>
      <c r="P35" s="22"/>
      <c r="Q35" s="22"/>
      <c r="R35" s="98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</row>
    <row r="36" spans="1:3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6"/>
      <c r="L36" s="22"/>
      <c r="M36" s="22"/>
      <c r="N36" s="22"/>
      <c r="O36" s="22"/>
      <c r="P36" s="22"/>
      <c r="Q36" s="22"/>
      <c r="R36" s="98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</row>
    <row r="37" spans="1:3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6"/>
      <c r="L37" s="22"/>
      <c r="M37" s="22"/>
      <c r="N37" s="22"/>
      <c r="O37" s="22"/>
      <c r="P37" s="22"/>
      <c r="Q37" s="22"/>
      <c r="R37" s="98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</row>
    <row r="38" spans="1:3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6"/>
      <c r="L38" s="22"/>
      <c r="M38" s="22"/>
      <c r="N38" s="22"/>
      <c r="O38" s="22"/>
      <c r="P38" s="22"/>
      <c r="Q38" s="22"/>
      <c r="R38" s="98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</row>
    <row r="39" spans="1:3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6"/>
      <c r="L39" s="22"/>
      <c r="M39" s="22"/>
      <c r="N39" s="22"/>
      <c r="O39" s="22"/>
      <c r="P39" s="22"/>
      <c r="Q39" s="22"/>
      <c r="R39" s="98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</row>
    <row r="40" spans="1:3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6"/>
      <c r="L40" s="22"/>
      <c r="M40" s="22"/>
      <c r="N40" s="22"/>
      <c r="O40" s="22"/>
      <c r="P40" s="22"/>
      <c r="Q40" s="22"/>
      <c r="R40" s="98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</row>
    <row r="41" spans="1:3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6"/>
      <c r="L41" s="22"/>
      <c r="M41" s="22"/>
      <c r="N41" s="22"/>
      <c r="O41" s="22"/>
      <c r="P41" s="22"/>
      <c r="Q41" s="22"/>
      <c r="R41" s="98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</row>
    <row r="42" spans="1:3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6"/>
      <c r="L42" s="22"/>
      <c r="M42" s="22"/>
      <c r="N42" s="22"/>
      <c r="O42" s="22"/>
      <c r="P42" s="22"/>
      <c r="Q42" s="22"/>
      <c r="R42" s="98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</row>
    <row r="43" spans="1:3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6"/>
      <c r="L43" s="22"/>
      <c r="M43" s="22"/>
      <c r="N43" s="22"/>
      <c r="O43" s="22"/>
      <c r="P43" s="22"/>
      <c r="Q43" s="22"/>
      <c r="R43" s="98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</row>
    <row r="44" spans="1:3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6"/>
      <c r="L44" s="22"/>
      <c r="M44" s="22"/>
      <c r="N44" s="22"/>
      <c r="O44" s="22"/>
      <c r="P44" s="22"/>
      <c r="Q44" s="22"/>
      <c r="R44" s="98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</row>
    <row r="45" spans="1:3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6"/>
      <c r="L45" s="22"/>
      <c r="M45" s="22"/>
      <c r="N45" s="22"/>
      <c r="O45" s="22"/>
      <c r="P45" s="22"/>
      <c r="Q45" s="22"/>
      <c r="R45" s="98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</row>
    <row r="46" spans="1:3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6"/>
      <c r="L46" s="22"/>
      <c r="M46" s="22"/>
      <c r="N46" s="22"/>
      <c r="O46" s="22"/>
      <c r="P46" s="22"/>
      <c r="Q46" s="22"/>
      <c r="R46" s="98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</row>
    <row r="47" spans="1:3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6"/>
      <c r="L47" s="22"/>
      <c r="M47" s="22"/>
      <c r="N47" s="22"/>
      <c r="O47" s="22"/>
      <c r="P47" s="22"/>
      <c r="Q47" s="22"/>
      <c r="R47" s="98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</row>
    <row r="48" spans="1:3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6"/>
      <c r="L48" s="22"/>
      <c r="M48" s="22"/>
      <c r="N48" s="22"/>
      <c r="O48" s="22"/>
      <c r="P48" s="22"/>
      <c r="Q48" s="22"/>
      <c r="R48" s="98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</row>
    <row r="49" spans="1:3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6"/>
      <c r="L49" s="22"/>
      <c r="M49" s="22"/>
      <c r="N49" s="22"/>
      <c r="O49" s="22"/>
      <c r="P49" s="22"/>
      <c r="Q49" s="22"/>
      <c r="R49" s="98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</row>
    <row r="50" spans="1:3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6"/>
      <c r="L50" s="22"/>
      <c r="M50" s="22"/>
      <c r="N50" s="22"/>
      <c r="O50" s="22"/>
      <c r="P50" s="22"/>
      <c r="Q50" s="22"/>
      <c r="R50" s="98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</row>
    <row r="51" spans="1:3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6"/>
      <c r="L51" s="22"/>
      <c r="M51" s="22"/>
      <c r="N51" s="22"/>
      <c r="O51" s="22"/>
      <c r="P51" s="22"/>
      <c r="Q51" s="22"/>
      <c r="R51" s="98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</row>
    <row r="52" spans="1:3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6"/>
      <c r="L52" s="22"/>
      <c r="M52" s="22"/>
      <c r="N52" s="22"/>
      <c r="O52" s="22"/>
      <c r="P52" s="22"/>
      <c r="Q52" s="22"/>
      <c r="R52" s="98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</row>
    <row r="53" spans="1:3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6"/>
      <c r="L53" s="22"/>
      <c r="M53" s="22"/>
      <c r="N53" s="22"/>
      <c r="O53" s="22"/>
      <c r="P53" s="22"/>
      <c r="Q53" s="22"/>
      <c r="R53" s="98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</row>
    <row r="54" spans="1:3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6"/>
      <c r="L54" s="22"/>
      <c r="M54" s="22"/>
      <c r="N54" s="22"/>
      <c r="O54" s="22"/>
      <c r="P54" s="22"/>
      <c r="Q54" s="22"/>
      <c r="R54" s="98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</row>
    <row r="55" spans="1:3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6"/>
      <c r="L55" s="22"/>
      <c r="M55" s="22"/>
      <c r="N55" s="22"/>
      <c r="O55" s="22"/>
      <c r="P55" s="22"/>
      <c r="Q55" s="22"/>
      <c r="R55" s="98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</row>
    <row r="56" spans="1:3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6"/>
      <c r="L56" s="22"/>
      <c r="M56" s="22"/>
      <c r="N56" s="22"/>
      <c r="O56" s="22"/>
      <c r="P56" s="22"/>
      <c r="Q56" s="22"/>
      <c r="R56" s="98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</row>
    <row r="57" spans="1:3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6"/>
      <c r="L57" s="22"/>
      <c r="M57" s="22"/>
      <c r="N57" s="22"/>
      <c r="O57" s="22"/>
      <c r="P57" s="22"/>
      <c r="Q57" s="22"/>
      <c r="R57" s="98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</row>
    <row r="58" spans="1:3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6"/>
      <c r="L58" s="22"/>
      <c r="M58" s="22"/>
      <c r="N58" s="22"/>
      <c r="O58" s="22"/>
      <c r="P58" s="22"/>
      <c r="Q58" s="22"/>
      <c r="R58" s="98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</row>
    <row r="59" spans="1:3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6"/>
      <c r="L59" s="22"/>
      <c r="M59" s="22"/>
      <c r="N59" s="22"/>
      <c r="O59" s="22"/>
      <c r="P59" s="22"/>
      <c r="Q59" s="22"/>
      <c r="R59" s="98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</row>
    <row r="60" spans="1:3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6"/>
      <c r="L60" s="22"/>
      <c r="M60" s="22"/>
      <c r="N60" s="22"/>
      <c r="O60" s="22"/>
      <c r="P60" s="22"/>
      <c r="Q60" s="22"/>
      <c r="R60" s="98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</row>
    <row r="61" spans="1:3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6"/>
      <c r="L61" s="22"/>
      <c r="M61" s="22"/>
      <c r="N61" s="22"/>
      <c r="O61" s="22"/>
      <c r="P61" s="22"/>
      <c r="Q61" s="22"/>
      <c r="R61" s="78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</row>
    <row r="62" spans="1:3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6"/>
      <c r="L62" s="22"/>
      <c r="M62" s="22"/>
      <c r="N62" s="22"/>
      <c r="O62" s="22"/>
      <c r="P62" s="22"/>
      <c r="Q62" s="22"/>
      <c r="R62" s="78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</row>
    <row r="63" spans="1:32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6"/>
      <c r="L63" s="22"/>
      <c r="M63" s="22"/>
      <c r="N63" s="22"/>
      <c r="O63" s="22"/>
      <c r="P63" s="22"/>
      <c r="Q63" s="22"/>
      <c r="R63" s="78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</row>
    <row r="64" spans="1:32">
      <c r="A64" s="72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78"/>
      <c r="S64" s="41"/>
      <c r="T64" s="41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</row>
    <row r="65" spans="1:18" s="41" customFormat="1" ht="15">
      <c r="A65" s="72"/>
      <c r="R65" s="78"/>
    </row>
    <row r="66" spans="1:18" s="41" customFormat="1" ht="15">
      <c r="A66" s="72"/>
      <c r="R66" s="78"/>
    </row>
    <row r="67" spans="1:18" s="41" customFormat="1" ht="15">
      <c r="A67" s="72"/>
      <c r="R67" s="78"/>
    </row>
    <row r="68" spans="1:18" s="41" customFormat="1" ht="15">
      <c r="A68" s="72"/>
      <c r="R68" s="78"/>
    </row>
    <row r="69" spans="1:18" s="41" customFormat="1" ht="15">
      <c r="A69" s="72"/>
      <c r="R69" s="78"/>
    </row>
    <row r="70" spans="1:18" s="41" customFormat="1" ht="15">
      <c r="A70" s="72"/>
      <c r="R70" s="78"/>
    </row>
    <row r="71" spans="1:18" s="41" customFormat="1" ht="15">
      <c r="A71" s="72"/>
      <c r="R71" s="78"/>
    </row>
    <row r="72" spans="1:18" s="41" customFormat="1" ht="15">
      <c r="A72" s="72"/>
      <c r="R72" s="78"/>
    </row>
    <row r="73" spans="1:18" s="41" customFormat="1" ht="15">
      <c r="A73" s="72"/>
      <c r="R73" s="78"/>
    </row>
    <row r="74" spans="1:18" s="41" customFormat="1" ht="15">
      <c r="A74" s="72"/>
      <c r="R74" s="78"/>
    </row>
    <row r="75" spans="1:18" s="41" customFormat="1" ht="15">
      <c r="A75" s="72"/>
      <c r="R75" s="78"/>
    </row>
    <row r="76" spans="1:18" s="41" customFormat="1" ht="15">
      <c r="A76" s="72"/>
      <c r="R76" s="78"/>
    </row>
    <row r="77" spans="1:18" s="41" customFormat="1" ht="15">
      <c r="A77" s="72"/>
      <c r="R77" s="78"/>
    </row>
    <row r="78" spans="1:18" s="41" customFormat="1" ht="15">
      <c r="A78" s="72"/>
      <c r="R78" s="78"/>
    </row>
    <row r="79" spans="1:18" s="41" customFormat="1" ht="15">
      <c r="A79" s="72"/>
      <c r="R79" s="78"/>
    </row>
    <row r="80" spans="1:18" s="41" customFormat="1" ht="15">
      <c r="A80" s="72"/>
      <c r="R80" s="78"/>
    </row>
    <row r="81" spans="1:18" s="41" customFormat="1" ht="15">
      <c r="A81" s="72"/>
      <c r="R81" s="78"/>
    </row>
    <row r="82" spans="1:18" s="41" customFormat="1" ht="15">
      <c r="A82" s="72"/>
      <c r="R82" s="78"/>
    </row>
    <row r="83" spans="1:18" s="41" customFormat="1" ht="15">
      <c r="A83" s="72"/>
      <c r="R83" s="78"/>
    </row>
    <row r="84" spans="1:18" s="41" customFormat="1" ht="15">
      <c r="A84" s="72"/>
      <c r="R84" s="78"/>
    </row>
    <row r="85" spans="1:18" s="41" customFormat="1" ht="15">
      <c r="A85" s="72"/>
      <c r="R85" s="78"/>
    </row>
    <row r="86" spans="1:18" s="41" customFormat="1" ht="15">
      <c r="A86" s="72"/>
      <c r="R86" s="78"/>
    </row>
    <row r="87" spans="1:18" s="41" customFormat="1" ht="15">
      <c r="A87" s="72"/>
      <c r="R87" s="78"/>
    </row>
    <row r="88" spans="1:18" s="41" customFormat="1" ht="15">
      <c r="A88" s="72"/>
      <c r="R88" s="78"/>
    </row>
    <row r="89" spans="1:18" s="41" customFormat="1" ht="15">
      <c r="A89" s="72"/>
      <c r="R89" s="78"/>
    </row>
    <row r="90" spans="1:18" s="41" customFormat="1" ht="15">
      <c r="A90" s="72"/>
      <c r="R90" s="78"/>
    </row>
    <row r="91" spans="1:18" s="41" customFormat="1" ht="15">
      <c r="A91" s="72"/>
      <c r="R91" s="78"/>
    </row>
    <row r="92" spans="1:18" s="41" customFormat="1" ht="15">
      <c r="A92" s="72"/>
      <c r="R92" s="78"/>
    </row>
    <row r="93" spans="1:18" s="41" customFormat="1" ht="15">
      <c r="A93" s="72"/>
      <c r="R93" s="78"/>
    </row>
    <row r="94" spans="1:18" s="41" customFormat="1" ht="15">
      <c r="A94" s="72"/>
      <c r="R94" s="78"/>
    </row>
    <row r="95" spans="1:18" s="41" customFormat="1" ht="15">
      <c r="A95" s="72"/>
      <c r="R95" s="78"/>
    </row>
    <row r="96" spans="1:18" s="41" customFormat="1" ht="15">
      <c r="A96" s="72"/>
      <c r="R96" s="78"/>
    </row>
    <row r="97" spans="1:18" s="41" customFormat="1" ht="15">
      <c r="A97" s="72"/>
      <c r="R97" s="78"/>
    </row>
    <row r="98" spans="1:18" s="41" customFormat="1" ht="15">
      <c r="A98" s="72"/>
      <c r="R98" s="78"/>
    </row>
    <row r="99" spans="1:18" s="41" customFormat="1" ht="15">
      <c r="A99" s="72"/>
      <c r="R99" s="78"/>
    </row>
    <row r="100" spans="1:18" s="41" customFormat="1" ht="15">
      <c r="A100" s="72"/>
      <c r="R100" s="78"/>
    </row>
    <row r="101" spans="1:18" s="41" customFormat="1" ht="15">
      <c r="A101" s="72"/>
      <c r="R101" s="78"/>
    </row>
    <row r="102" spans="1:18" s="41" customFormat="1" ht="15">
      <c r="A102" s="72"/>
      <c r="R102" s="78"/>
    </row>
    <row r="103" spans="1:18" s="41" customFormat="1" ht="15">
      <c r="A103" s="72"/>
      <c r="R103" s="78"/>
    </row>
    <row r="104" spans="1:18" s="41" customFormat="1" ht="15">
      <c r="A104" s="72"/>
      <c r="R104" s="78"/>
    </row>
    <row r="105" spans="1:18" s="41" customFormat="1" ht="15">
      <c r="A105" s="72"/>
      <c r="R105" s="78"/>
    </row>
    <row r="106" spans="1:18" s="41" customFormat="1" ht="15">
      <c r="A106" s="72"/>
      <c r="R106" s="78"/>
    </row>
    <row r="107" spans="1:18" s="41" customFormat="1" ht="15">
      <c r="A107" s="72"/>
      <c r="R107" s="78"/>
    </row>
    <row r="108" spans="1:18" s="41" customFormat="1" ht="15">
      <c r="A108" s="72"/>
      <c r="R108" s="78"/>
    </row>
    <row r="109" spans="1:18" s="41" customFormat="1" ht="15">
      <c r="A109" s="72"/>
      <c r="R109" s="78"/>
    </row>
    <row r="110" spans="1:18" s="41" customFormat="1" ht="15">
      <c r="A110" s="72"/>
      <c r="R110" s="78"/>
    </row>
    <row r="111" spans="1:18" s="41" customFormat="1" ht="15">
      <c r="A111" s="72"/>
      <c r="R111" s="78"/>
    </row>
    <row r="112" spans="1:18" s="41" customFormat="1" ht="15">
      <c r="A112" s="72"/>
      <c r="R112" s="78"/>
    </row>
    <row r="113" spans="1:18" s="41" customFormat="1" ht="15">
      <c r="A113" s="72"/>
      <c r="R113" s="78"/>
    </row>
    <row r="114" spans="1:18" s="41" customFormat="1" ht="15">
      <c r="A114" s="72"/>
      <c r="R114" s="78"/>
    </row>
    <row r="115" spans="1:18" s="41" customFormat="1" ht="15">
      <c r="A115" s="72"/>
      <c r="R115" s="78"/>
    </row>
    <row r="116" spans="1:18" s="41" customFormat="1" ht="15">
      <c r="A116" s="72"/>
      <c r="R116" s="78"/>
    </row>
    <row r="117" spans="1:18" s="41" customFormat="1" ht="15">
      <c r="A117" s="72"/>
      <c r="R117" s="78"/>
    </row>
    <row r="118" spans="1:18" s="41" customFormat="1" ht="15">
      <c r="A118" s="72"/>
      <c r="R118" s="78"/>
    </row>
    <row r="119" spans="1:18" s="41" customFormat="1" ht="15">
      <c r="A119" s="72"/>
      <c r="R119" s="78"/>
    </row>
    <row r="120" spans="1:18" s="41" customFormat="1" ht="15">
      <c r="A120" s="72"/>
      <c r="R120" s="78"/>
    </row>
    <row r="121" spans="1:18" s="41" customFormat="1" ht="15">
      <c r="A121" s="72"/>
      <c r="R121" s="78"/>
    </row>
    <row r="122" spans="1:18" s="41" customFormat="1" ht="15">
      <c r="A122" s="72"/>
      <c r="R122" s="78"/>
    </row>
    <row r="123" spans="1:18" s="41" customFormat="1" ht="15">
      <c r="A123" s="72"/>
      <c r="R123" s="78"/>
    </row>
    <row r="124" spans="1:18" s="41" customFormat="1" ht="15">
      <c r="A124" s="72"/>
      <c r="R124" s="78"/>
    </row>
    <row r="125" spans="1:18" s="41" customFormat="1" ht="15">
      <c r="A125" s="72"/>
      <c r="R125" s="78"/>
    </row>
    <row r="126" spans="1:18" s="41" customFormat="1" ht="15">
      <c r="A126" s="72"/>
      <c r="R126" s="78"/>
    </row>
    <row r="127" spans="1:18" s="41" customFormat="1" ht="15">
      <c r="A127" s="72"/>
      <c r="R127" s="78"/>
    </row>
    <row r="128" spans="1:18" s="41" customFormat="1" ht="15">
      <c r="A128" s="72"/>
      <c r="R128" s="78"/>
    </row>
    <row r="129" spans="1:33" s="41" customFormat="1" ht="15">
      <c r="A129" s="72"/>
      <c r="R129" s="78"/>
    </row>
    <row r="130" spans="1:33" s="41" customFormat="1" ht="15">
      <c r="A130" s="72"/>
      <c r="R130" s="78"/>
    </row>
    <row r="131" spans="1:33" s="41" customFormat="1" ht="15">
      <c r="A131" s="72"/>
      <c r="R131" s="78"/>
    </row>
    <row r="132" spans="1:33" s="41" customFormat="1" ht="15">
      <c r="A132" s="72"/>
      <c r="R132" s="78"/>
    </row>
    <row r="133" spans="1:33" s="41" customFormat="1" ht="15">
      <c r="A133" s="72"/>
      <c r="R133" s="78"/>
    </row>
    <row r="134" spans="1:33" s="41" customFormat="1" ht="15">
      <c r="A134" s="72"/>
      <c r="R134" s="78"/>
    </row>
    <row r="135" spans="1:33" s="41" customFormat="1" ht="15">
      <c r="A135" s="72"/>
      <c r="R135" s="78"/>
    </row>
    <row r="136" spans="1:33" s="41" customFormat="1" ht="15">
      <c r="A136" s="72"/>
      <c r="R136" s="78"/>
    </row>
    <row r="137" spans="1:33" s="41" customFormat="1" ht="15">
      <c r="A137" s="72"/>
      <c r="R137" s="78"/>
    </row>
    <row r="138" spans="1:33" s="41" customFormat="1" ht="15">
      <c r="A138" s="72"/>
      <c r="R138" s="78"/>
    </row>
    <row r="139" spans="1:33" s="41" customFormat="1" ht="15">
      <c r="A139" s="72"/>
      <c r="R139" s="100"/>
    </row>
    <row r="140" spans="1:33" s="41" customFormat="1" ht="15">
      <c r="A140" s="72"/>
      <c r="R140" s="78"/>
    </row>
    <row r="141" spans="1:33" s="41" customFormat="1" ht="14.25">
      <c r="A141" s="52"/>
      <c r="B141" s="52"/>
      <c r="R141" s="78"/>
    </row>
    <row r="142" spans="1:33" s="41" customFormat="1" ht="14.25" hidden="1">
      <c r="A142" s="42"/>
      <c r="B142" s="42"/>
      <c r="C142" s="71" t="str">
        <f>KEY!$D$2</f>
        <v>Q4</v>
      </c>
      <c r="D142" s="41" t="str">
        <f>$D$1</f>
        <v>Acura North Scottsdale</v>
      </c>
      <c r="E142" s="77">
        <f>COUNTIFS(WORKSHEET!$J$3:$J$1077,"*",WORKSHEET!$D$3:$D$1077,$D$142)</f>
        <v>8</v>
      </c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78"/>
      <c r="S142" s="53"/>
      <c r="T142" s="53"/>
    </row>
    <row r="143" spans="1:33" s="41" customFormat="1" ht="28.5" hidden="1">
      <c r="A143" s="42">
        <v>0</v>
      </c>
      <c r="B143" s="42"/>
      <c r="C143" s="41" t="s">
        <v>21</v>
      </c>
      <c r="D143" s="53" t="s">
        <v>24</v>
      </c>
      <c r="E143" s="53" t="s">
        <v>25</v>
      </c>
      <c r="F143" s="53"/>
      <c r="G143" s="55" t="s">
        <v>3</v>
      </c>
      <c r="H143" s="55" t="s">
        <v>4</v>
      </c>
      <c r="I143" s="55" t="s">
        <v>5</v>
      </c>
      <c r="J143" s="55" t="s">
        <v>6</v>
      </c>
      <c r="K143" s="55"/>
      <c r="L143" s="55"/>
      <c r="M143" s="55"/>
      <c r="N143" s="55"/>
      <c r="O143" s="55"/>
      <c r="P143" s="55"/>
      <c r="R143" s="78"/>
      <c r="U143" s="53"/>
      <c r="V143" s="54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</row>
    <row r="144" spans="1:33" s="41" customFormat="1" ht="48" hidden="1" customHeight="1">
      <c r="A144" s="78"/>
      <c r="B144" s="78"/>
      <c r="D144" s="67" t="s">
        <v>1</v>
      </c>
      <c r="E144" s="67" t="s">
        <v>1</v>
      </c>
      <c r="F144" s="63"/>
      <c r="G144" s="67" t="s">
        <v>1</v>
      </c>
      <c r="H144" s="67" t="s">
        <v>1</v>
      </c>
      <c r="I144" s="67" t="s">
        <v>1</v>
      </c>
      <c r="J144" s="67" t="s">
        <v>1</v>
      </c>
      <c r="K144" s="67"/>
      <c r="L144" s="67"/>
      <c r="M144" s="67"/>
      <c r="N144" s="67"/>
      <c r="O144" s="67"/>
      <c r="P144" s="67"/>
      <c r="R144" s="78"/>
    </row>
    <row r="145" spans="1:20" s="41" customFormat="1" ht="14.25" hidden="1">
      <c r="A145" s="78">
        <v>1</v>
      </c>
      <c r="B145" s="78" t="str">
        <f t="shared" ref="B145:B152" si="2">$D$142</f>
        <v>Acura North Scottsdale</v>
      </c>
      <c r="C145" s="71" t="s">
        <v>42</v>
      </c>
      <c r="D145" s="67">
        <f>IF(B145="","",IFERROR(VLOOKUP($C145&amp;"_"&amp;$B145,WORKSHEET!$G$3:$U$1077,2,FALSE),""))</f>
        <v>4</v>
      </c>
      <c r="E145" s="67">
        <f>IF(B145="","",IFERROR(VLOOKUP($C145&amp;"_"&amp;$B145,WORKSHEET!$G$3:$U$1077,3,FALSE),""))</f>
        <v>3</v>
      </c>
      <c r="F145" s="63">
        <f t="shared" ref="F145:F152" si="3">IF(B145="","",IFERROR(E145/D145,""))</f>
        <v>0.75</v>
      </c>
      <c r="G145" s="67" t="str">
        <f>IF(B145="","",VLOOKUP($C145&amp;"_"&amp;$B145,WORKSHEET!$G$3:$U$1077,7,FALSE))</f>
        <v>NO</v>
      </c>
      <c r="H145" s="67" t="str">
        <f>IF(B145="","",VLOOKUP($C145&amp;"_"&amp;$B145,WORKSHEET!$G$3:$U$1077,8,FALSE))</f>
        <v>YES</v>
      </c>
      <c r="I145" s="67" t="str">
        <f>IF(B145="","",VLOOKUP($C145&amp;"_"&amp;$B145,WORKSHEET!$G$3:$U$1077,9,FALSE))</f>
        <v>YES</v>
      </c>
      <c r="J145" s="67" t="str">
        <f>IF(B145="","",VLOOKUP($C145&amp;"_"&amp;$B145,WORKSHEET!$G$3:$U$1077,10,FALSE))</f>
        <v>YES</v>
      </c>
      <c r="K145" s="67"/>
      <c r="L145" s="67"/>
      <c r="M145" s="67"/>
      <c r="N145" s="67"/>
      <c r="O145" s="67"/>
      <c r="P145" s="67"/>
      <c r="R145" s="78"/>
    </row>
    <row r="146" spans="1:20" s="41" customFormat="1" ht="14.25" hidden="1">
      <c r="A146" s="78">
        <f t="shared" ref="A146:A152" si="4">IF(A145="","",IF(A145&lt;$E$142,A145+1,""))</f>
        <v>2</v>
      </c>
      <c r="B146" s="78" t="str">
        <f t="shared" si="2"/>
        <v>Acura North Scottsdale</v>
      </c>
      <c r="C146" s="71" t="s">
        <v>43</v>
      </c>
      <c r="D146" s="67">
        <f>IF(B146="","",IFERROR(VLOOKUP($C146&amp;"_"&amp;$B146,WORKSHEET!$G$3:$U$1077,2,FALSE),""))</f>
        <v>4</v>
      </c>
      <c r="E146" s="67">
        <f>IF(B146="","",IFERROR(VLOOKUP($C146&amp;"_"&amp;$B146,WORKSHEET!$G$3:$U$1077,3,FALSE),""))</f>
        <v>3</v>
      </c>
      <c r="F146" s="63">
        <f t="shared" si="3"/>
        <v>0.75</v>
      </c>
      <c r="G146" s="67" t="str">
        <f>IF(B146="","",VLOOKUP($C146&amp;"_"&amp;$B146,WORKSHEET!$G$3:$U$1077,7,FALSE))</f>
        <v>YES</v>
      </c>
      <c r="H146" s="67" t="str">
        <f>IF(B146="","",VLOOKUP($C146&amp;"_"&amp;$B146,WORKSHEET!$G$3:$U$1077,8,FALSE))</f>
        <v>NO</v>
      </c>
      <c r="I146" s="67" t="str">
        <f>IF(B146="","",VLOOKUP($C146&amp;"_"&amp;$B146,WORKSHEET!$G$3:$U$1077,9,FALSE))</f>
        <v>YES</v>
      </c>
      <c r="J146" s="67" t="str">
        <f>IF(B146="","",VLOOKUP($C146&amp;"_"&amp;$B146,WORKSHEET!$G$3:$U$1077,10,FALSE))</f>
        <v>YES</v>
      </c>
      <c r="K146" s="67"/>
      <c r="L146" s="67"/>
      <c r="M146" s="67"/>
      <c r="N146" s="67"/>
      <c r="O146" s="67"/>
      <c r="P146" s="67"/>
      <c r="R146" s="78"/>
    </row>
    <row r="147" spans="1:20" s="41" customFormat="1" ht="14.25" hidden="1">
      <c r="A147" s="78">
        <f t="shared" si="4"/>
        <v>3</v>
      </c>
      <c r="B147" s="78" t="str">
        <f t="shared" si="2"/>
        <v>Acura North Scottsdale</v>
      </c>
      <c r="C147" s="71" t="s">
        <v>44</v>
      </c>
      <c r="D147" s="67">
        <f>IF(B147="","",IFERROR(VLOOKUP($C147&amp;"_"&amp;$B147,WORKSHEET!$G$3:$U$1077,2,FALSE),""))</f>
        <v>4</v>
      </c>
      <c r="E147" s="67">
        <f>IF(B147="","",IFERROR(VLOOKUP($C147&amp;"_"&amp;$B147,WORKSHEET!$G$3:$U$1077,3,FALSE),""))</f>
        <v>4</v>
      </c>
      <c r="F147" s="63">
        <f t="shared" si="3"/>
        <v>1</v>
      </c>
      <c r="G147" s="67" t="str">
        <f>IF(B147="","",VLOOKUP($C147&amp;"_"&amp;$B147,WORKSHEET!$G$3:$U$1077,7,FALSE))</f>
        <v>YES</v>
      </c>
      <c r="H147" s="67" t="str">
        <f>IF(B147="","",VLOOKUP($C147&amp;"_"&amp;$B147,WORKSHEET!$G$3:$U$1077,8,FALSE))</f>
        <v>YES</v>
      </c>
      <c r="I147" s="67" t="str">
        <f>IF(B147="","",VLOOKUP($C147&amp;"_"&amp;$B147,WORKSHEET!$G$3:$U$1077,9,FALSE))</f>
        <v>YES</v>
      </c>
      <c r="J147" s="67" t="str">
        <f>IF(B147="","",VLOOKUP($C147&amp;"_"&amp;$B147,WORKSHEET!$G$3:$U$1077,10,FALSE))</f>
        <v>YES</v>
      </c>
      <c r="K147" s="67"/>
      <c r="L147" s="67"/>
      <c r="M147" s="67"/>
      <c r="N147" s="67"/>
      <c r="O147" s="67"/>
      <c r="P147" s="67"/>
      <c r="R147" s="78"/>
    </row>
    <row r="148" spans="1:20" s="41" customFormat="1" ht="14.25" hidden="1">
      <c r="A148" s="78">
        <f t="shared" si="4"/>
        <v>4</v>
      </c>
      <c r="B148" s="78" t="str">
        <f t="shared" si="2"/>
        <v>Acura North Scottsdale</v>
      </c>
      <c r="C148" s="71" t="s">
        <v>45</v>
      </c>
      <c r="D148" s="67">
        <f>IF(B148="","",IFERROR(VLOOKUP($C148&amp;"_"&amp;$B148,WORKSHEET!$G$3:$U$1077,2,FALSE),""))</f>
        <v>4</v>
      </c>
      <c r="E148" s="67">
        <f>IF(B148="","",IFERROR(VLOOKUP($C148&amp;"_"&amp;$B148,WORKSHEET!$G$3:$U$1077,3,FALSE),""))</f>
        <v>4</v>
      </c>
      <c r="F148" s="63">
        <f t="shared" si="3"/>
        <v>1</v>
      </c>
      <c r="G148" s="67" t="str">
        <f>IF(B148="","",VLOOKUP($C148&amp;"_"&amp;$B148,WORKSHEET!$G$3:$U$1077,7,FALSE))</f>
        <v>YES</v>
      </c>
      <c r="H148" s="67" t="str">
        <f>IF(B148="","",VLOOKUP($C148&amp;"_"&amp;$B148,WORKSHEET!$G$3:$U$1077,8,FALSE))</f>
        <v>YES</v>
      </c>
      <c r="I148" s="67" t="str">
        <f>IF(B148="","",VLOOKUP($C148&amp;"_"&amp;$B148,WORKSHEET!$G$3:$U$1077,9,FALSE))</f>
        <v>YES</v>
      </c>
      <c r="J148" s="67" t="str">
        <f>IF(B148="","",VLOOKUP($C148&amp;"_"&amp;$B148,WORKSHEET!$G$3:$U$1077,10,FALSE))</f>
        <v>YES</v>
      </c>
      <c r="K148" s="67"/>
      <c r="L148" s="67"/>
      <c r="M148" s="67"/>
      <c r="N148" s="67"/>
      <c r="O148" s="67"/>
      <c r="P148" s="67"/>
      <c r="R148" s="78"/>
    </row>
    <row r="149" spans="1:20" s="41" customFormat="1" hidden="1">
      <c r="A149" s="78">
        <f t="shared" si="4"/>
        <v>5</v>
      </c>
      <c r="B149" s="78" t="str">
        <f t="shared" si="2"/>
        <v>Acura North Scottsdale</v>
      </c>
      <c r="C149" s="71" t="s">
        <v>46</v>
      </c>
      <c r="D149" s="67">
        <f>IF(B149="","",IFERROR(VLOOKUP($C149&amp;"_"&amp;$B149,WORKSHEET!$G$3:$U$1077,2,FALSE),""))</f>
        <v>4</v>
      </c>
      <c r="E149" s="67">
        <f>IF(B149="","",IFERROR(VLOOKUP($C149&amp;"_"&amp;$B149,WORKSHEET!$G$3:$U$1077,3,FALSE),""))</f>
        <v>2</v>
      </c>
      <c r="F149" s="63">
        <f t="shared" si="3"/>
        <v>0.5</v>
      </c>
      <c r="G149" s="67" t="str">
        <f>IF(B149="","",VLOOKUP($C149&amp;"_"&amp;$B149,WORKSHEET!$G$3:$U$1077,7,FALSE))</f>
        <v>YES</v>
      </c>
      <c r="H149" s="67" t="str">
        <f>IF(B149="","",VLOOKUP($C149&amp;"_"&amp;$B149,WORKSHEET!$G$3:$U$1077,8,FALSE))</f>
        <v>NO</v>
      </c>
      <c r="I149" s="67" t="str">
        <f>IF(B149="","",VLOOKUP($C149&amp;"_"&amp;$B149,WORKSHEET!$G$3:$U$1077,9,FALSE))</f>
        <v>YES</v>
      </c>
      <c r="J149" s="67" t="str">
        <f>IF(B149="","",VLOOKUP($C149&amp;"_"&amp;$B149,WORKSHEET!$G$3:$U$1077,10,FALSE))</f>
        <v>NO</v>
      </c>
      <c r="K149" s="67"/>
      <c r="L149" s="67"/>
      <c r="M149" s="67"/>
      <c r="N149" s="67"/>
      <c r="O149" s="67"/>
      <c r="P149" s="67"/>
      <c r="R149" s="101"/>
    </row>
    <row r="150" spans="1:20" s="41" customFormat="1" ht="14.25" hidden="1">
      <c r="A150" s="78">
        <f t="shared" si="4"/>
        <v>6</v>
      </c>
      <c r="B150" s="78" t="str">
        <f t="shared" si="2"/>
        <v>Acura North Scottsdale</v>
      </c>
      <c r="C150" s="71" t="s">
        <v>47</v>
      </c>
      <c r="D150" s="67">
        <f>IF(B150="","",IFERROR(VLOOKUP($C150&amp;"_"&amp;$B150,WORKSHEET!$G$3:$U$1077,2,FALSE),""))</f>
        <v>4</v>
      </c>
      <c r="E150" s="67">
        <f>IF(B150="","",IFERROR(VLOOKUP($C150&amp;"_"&amp;$B150,WORKSHEET!$G$3:$U$1077,3,FALSE),""))</f>
        <v>4</v>
      </c>
      <c r="F150" s="63">
        <f t="shared" si="3"/>
        <v>1</v>
      </c>
      <c r="G150" s="67" t="str">
        <f>IF(B150="","",VLOOKUP($C150&amp;"_"&amp;$B150,WORKSHEET!$G$3:$U$1077,7,FALSE))</f>
        <v>YES</v>
      </c>
      <c r="H150" s="67" t="str">
        <f>IF(B150="","",VLOOKUP($C150&amp;"_"&amp;$B150,WORKSHEET!$G$3:$U$1077,8,FALSE))</f>
        <v>YES</v>
      </c>
      <c r="I150" s="67" t="str">
        <f>IF(B150="","",VLOOKUP($C150&amp;"_"&amp;$B150,WORKSHEET!$G$3:$U$1077,9,FALSE))</f>
        <v>YES</v>
      </c>
      <c r="J150" s="67" t="str">
        <f>IF(B150="","",VLOOKUP($C150&amp;"_"&amp;$B150,WORKSHEET!$G$3:$U$1077,10,FALSE))</f>
        <v>YES</v>
      </c>
      <c r="K150" s="67"/>
      <c r="L150" s="67"/>
      <c r="M150" s="67"/>
      <c r="N150" s="67"/>
      <c r="O150" s="67"/>
      <c r="P150" s="67"/>
      <c r="R150" s="78"/>
    </row>
    <row r="151" spans="1:20" s="41" customFormat="1" ht="14.25" hidden="1">
      <c r="A151" s="78">
        <f t="shared" si="4"/>
        <v>7</v>
      </c>
      <c r="B151" s="78" t="str">
        <f t="shared" si="2"/>
        <v>Acura North Scottsdale</v>
      </c>
      <c r="C151" s="71" t="s">
        <v>48</v>
      </c>
      <c r="D151" s="67">
        <f>IF(B151="","",IFERROR(VLOOKUP($C151&amp;"_"&amp;$B151,WORKSHEET!$G$3:$U$1077,2,FALSE),""))</f>
        <v>4</v>
      </c>
      <c r="E151" s="67">
        <f>IF(B151="","",IFERROR(VLOOKUP($C151&amp;"_"&amp;$B151,WORKSHEET!$G$3:$U$1077,3,FALSE),""))</f>
        <v>4</v>
      </c>
      <c r="F151" s="63">
        <f t="shared" si="3"/>
        <v>1</v>
      </c>
      <c r="G151" s="67" t="str">
        <f>IF(B151="","",VLOOKUP($C151&amp;"_"&amp;$B151,WORKSHEET!$G$3:$U$1077,7,FALSE))</f>
        <v>YES</v>
      </c>
      <c r="H151" s="67" t="str">
        <f>IF(B151="","",VLOOKUP($C151&amp;"_"&amp;$B151,WORKSHEET!$G$3:$U$1077,8,FALSE))</f>
        <v>YES</v>
      </c>
      <c r="I151" s="67" t="str">
        <f>IF(B151="","",VLOOKUP($C151&amp;"_"&amp;$B151,WORKSHEET!$G$3:$U$1077,9,FALSE))</f>
        <v>YES</v>
      </c>
      <c r="J151" s="67" t="str">
        <f>IF(B151="","",VLOOKUP($C151&amp;"_"&amp;$B151,WORKSHEET!$G$3:$U$1077,10,FALSE))</f>
        <v>YES</v>
      </c>
      <c r="K151" s="67"/>
      <c r="L151" s="67"/>
      <c r="M151" s="67"/>
      <c r="N151" s="67"/>
      <c r="O151" s="67"/>
      <c r="P151" s="67"/>
      <c r="R151" s="78"/>
    </row>
    <row r="152" spans="1:20" s="41" customFormat="1" ht="14.25" hidden="1">
      <c r="A152" s="78">
        <f t="shared" si="4"/>
        <v>8</v>
      </c>
      <c r="B152" s="78" t="str">
        <f t="shared" si="2"/>
        <v>Acura North Scottsdale</v>
      </c>
      <c r="C152" s="71" t="s">
        <v>49</v>
      </c>
      <c r="D152" s="67">
        <f>IF(B152="","",IFERROR(VLOOKUP($C152&amp;"_"&amp;$B152,WORKSHEET!$G$3:$U$1077,2,FALSE),""))</f>
        <v>4</v>
      </c>
      <c r="E152" s="67">
        <f>IF(B152="","",IFERROR(VLOOKUP($C152&amp;"_"&amp;$B152,WORKSHEET!$G$3:$U$1077,3,FALSE),""))</f>
        <v>4</v>
      </c>
      <c r="F152" s="63">
        <f t="shared" si="3"/>
        <v>1</v>
      </c>
      <c r="G152" s="67" t="str">
        <f>IF(B152="","",VLOOKUP($C152&amp;"_"&amp;$B152,WORKSHEET!$G$3:$U$1077,7,FALSE))</f>
        <v>YES</v>
      </c>
      <c r="H152" s="67" t="str">
        <f>IF(B152="","",VLOOKUP($C152&amp;"_"&amp;$B152,WORKSHEET!$G$3:$U$1077,8,FALSE))</f>
        <v>YES</v>
      </c>
      <c r="I152" s="67" t="str">
        <f>IF(B152="","",VLOOKUP($C152&amp;"_"&amp;$B152,WORKSHEET!$G$3:$U$1077,9,FALSE))</f>
        <v>YES</v>
      </c>
      <c r="J152" s="67" t="str">
        <f>IF(B152="","",VLOOKUP($C152&amp;"_"&amp;$B152,WORKSHEET!$G$3:$U$1077,10,FALSE))</f>
        <v>YES</v>
      </c>
      <c r="K152" s="67"/>
      <c r="L152" s="67"/>
      <c r="M152" s="67"/>
      <c r="N152" s="67"/>
      <c r="O152" s="67"/>
      <c r="P152" s="67"/>
      <c r="R152" s="78"/>
    </row>
    <row r="153" spans="1:20" s="41" customFormat="1" hidden="1">
      <c r="A153" s="79" t="s">
        <v>27</v>
      </c>
      <c r="B153" s="79"/>
      <c r="C153" s="56"/>
      <c r="D153" s="67" t="s">
        <v>1</v>
      </c>
      <c r="E153" s="67" t="s">
        <v>1</v>
      </c>
      <c r="F153" s="67" t="s">
        <v>1</v>
      </c>
      <c r="G153" s="67" t="s">
        <v>1</v>
      </c>
      <c r="H153" s="67" t="s">
        <v>1</v>
      </c>
      <c r="I153" s="67" t="s">
        <v>1</v>
      </c>
      <c r="J153" s="67" t="s">
        <v>1</v>
      </c>
      <c r="K153" s="67"/>
      <c r="L153" s="67"/>
      <c r="M153" s="67"/>
      <c r="N153" s="67"/>
      <c r="O153" s="67"/>
      <c r="P153" s="67"/>
      <c r="Q153" s="56"/>
      <c r="R153" s="78"/>
      <c r="S153" s="56"/>
      <c r="T153" s="56"/>
    </row>
    <row r="154" spans="1:20" s="56" customFormat="1">
      <c r="A154" s="65"/>
      <c r="B154" s="65"/>
      <c r="C154" s="41"/>
      <c r="D154" s="53"/>
      <c r="E154" s="53"/>
      <c r="F154" s="41"/>
      <c r="G154" s="53"/>
      <c r="H154" s="53"/>
      <c r="I154" s="53"/>
      <c r="J154" s="53"/>
      <c r="K154" s="53"/>
      <c r="L154" s="53"/>
      <c r="M154" s="53"/>
      <c r="N154" s="53"/>
      <c r="O154" s="41"/>
      <c r="P154" s="41"/>
      <c r="Q154" s="41"/>
      <c r="R154" s="78"/>
      <c r="S154" s="41"/>
      <c r="T154" s="41"/>
    </row>
    <row r="155" spans="1:20" s="41" customFormat="1" ht="15">
      <c r="A155" s="72"/>
      <c r="R155" s="78"/>
    </row>
    <row r="156" spans="1:20" s="41" customFormat="1" ht="15">
      <c r="A156" s="72"/>
      <c r="R156" s="78"/>
    </row>
    <row r="157" spans="1:20" s="41" customFormat="1" ht="15">
      <c r="A157" s="72"/>
      <c r="R157" s="78"/>
    </row>
    <row r="158" spans="1:20" s="41" customFormat="1" ht="15">
      <c r="A158" s="72"/>
      <c r="R158" s="78"/>
    </row>
    <row r="159" spans="1:20" s="41" customFormat="1" ht="15">
      <c r="A159" s="72"/>
      <c r="R159" s="78"/>
    </row>
    <row r="160" spans="1:20" s="41" customFormat="1" ht="15">
      <c r="A160" s="72"/>
      <c r="R160" s="78"/>
    </row>
    <row r="161" spans="1:18" s="41" customFormat="1" ht="15">
      <c r="A161" s="72"/>
      <c r="R161" s="78"/>
    </row>
    <row r="162" spans="1:18" s="41" customFormat="1" ht="15">
      <c r="A162" s="72"/>
      <c r="R162" s="78"/>
    </row>
    <row r="163" spans="1:18" s="41" customFormat="1" ht="15">
      <c r="A163" s="72"/>
      <c r="R163" s="78"/>
    </row>
    <row r="164" spans="1:18" s="41" customFormat="1" ht="15">
      <c r="A164" s="72"/>
      <c r="R164" s="78"/>
    </row>
    <row r="165" spans="1:18" s="41" customFormat="1" ht="15">
      <c r="A165" s="72"/>
      <c r="R165" s="78"/>
    </row>
    <row r="166" spans="1:18" s="41" customFormat="1" ht="15">
      <c r="A166" s="72"/>
      <c r="R166" s="78"/>
    </row>
    <row r="167" spans="1:18" s="41" customFormat="1" ht="15">
      <c r="A167" s="72"/>
      <c r="R167" s="78"/>
    </row>
    <row r="168" spans="1:18" s="41" customFormat="1" ht="15">
      <c r="A168" s="72"/>
      <c r="R168" s="78"/>
    </row>
    <row r="169" spans="1:18" s="41" customFormat="1" ht="15">
      <c r="A169" s="72"/>
      <c r="R169" s="78"/>
    </row>
    <row r="170" spans="1:18" s="41" customFormat="1" ht="15">
      <c r="A170" s="72"/>
      <c r="R170" s="78"/>
    </row>
    <row r="171" spans="1:18" s="41" customFormat="1" ht="15">
      <c r="A171" s="72"/>
      <c r="R171" s="78"/>
    </row>
    <row r="172" spans="1:18" s="41" customFormat="1" ht="15">
      <c r="A172" s="72"/>
      <c r="R172" s="78"/>
    </row>
    <row r="173" spans="1:18" s="41" customFormat="1" ht="15">
      <c r="A173" s="72"/>
      <c r="R173" s="78"/>
    </row>
    <row r="174" spans="1:18" s="41" customFormat="1" ht="15">
      <c r="A174" s="72"/>
      <c r="R174" s="78"/>
    </row>
    <row r="175" spans="1:18" s="41" customFormat="1" ht="15">
      <c r="A175" s="72"/>
      <c r="R175" s="78"/>
    </row>
    <row r="176" spans="1:18" s="41" customFormat="1" ht="15">
      <c r="A176" s="72"/>
      <c r="R176" s="78"/>
    </row>
    <row r="177" spans="1:20" s="41" customFormat="1" ht="15">
      <c r="A177" s="72"/>
      <c r="R177" s="78"/>
    </row>
    <row r="178" spans="1:20" s="41" customFormat="1" ht="15">
      <c r="A178" s="72"/>
      <c r="R178" s="78"/>
    </row>
    <row r="179" spans="1:20" s="41" customFormat="1" ht="15">
      <c r="A179" s="72"/>
      <c r="R179" s="78"/>
    </row>
    <row r="180" spans="1:20" s="41" customFormat="1">
      <c r="A180" s="72"/>
      <c r="R180" s="102"/>
    </row>
    <row r="181" spans="1:20" s="41" customFormat="1">
      <c r="A181" s="72"/>
      <c r="R181" s="102"/>
    </row>
    <row r="182" spans="1:20" s="41" customFormat="1">
      <c r="A182" s="72"/>
      <c r="R182" s="102"/>
    </row>
    <row r="183" spans="1:20" s="41" customFormat="1">
      <c r="A183"/>
      <c r="B183"/>
      <c r="C183"/>
      <c r="D183"/>
      <c r="E183"/>
      <c r="F183"/>
      <c r="G183"/>
      <c r="H183"/>
      <c r="I183"/>
      <c r="J183"/>
      <c r="K183" s="27"/>
      <c r="L183"/>
      <c r="M183"/>
      <c r="N183"/>
      <c r="O183"/>
      <c r="P183"/>
      <c r="Q183"/>
      <c r="R183" s="102"/>
      <c r="S183"/>
      <c r="T183"/>
    </row>
  </sheetData>
  <mergeCells count="10">
    <mergeCell ref="B1:C1"/>
    <mergeCell ref="B7:E7"/>
    <mergeCell ref="B8:E8"/>
    <mergeCell ref="D1:G1"/>
    <mergeCell ref="B13:E13"/>
    <mergeCell ref="F13:G13"/>
    <mergeCell ref="B9:E9"/>
    <mergeCell ref="B12:E12"/>
    <mergeCell ref="B10:E10"/>
    <mergeCell ref="B11:E11"/>
  </mergeCells>
  <conditionalFormatting sqref="F13">
    <cfRule type="colorScale" priority="1">
      <colorScale>
        <cfvo type="num" val="0.4"/>
        <cfvo type="num" val="0.75"/>
        <cfvo type="num" val="1"/>
        <color rgb="FFFF3437"/>
        <color rgb="FFFFFF00"/>
        <color rgb="FF92D050"/>
      </colorScale>
    </cfRule>
  </conditionalFormatting>
  <conditionalFormatting sqref="F8:G11">
    <cfRule type="expression" dxfId="3" priority="15" stopIfTrue="1">
      <formula>K8=1</formula>
    </cfRule>
    <cfRule type="expression" dxfId="2" priority="16">
      <formula>K8=2</formula>
    </cfRule>
  </conditionalFormatting>
  <conditionalFormatting sqref="F12:G12">
    <cfRule type="colorScale" priority="7">
      <colorScale>
        <cfvo type="num" val="0.4"/>
        <cfvo type="num" val="0.75"/>
        <cfvo type="num" val="1"/>
        <color rgb="FFFF3437"/>
        <color rgb="FFFFFF00"/>
        <color rgb="FF92D050"/>
      </colorScale>
    </cfRule>
  </conditionalFormatting>
  <conditionalFormatting sqref="J8:J11">
    <cfRule type="cellIs" dxfId="1" priority="18" operator="equal">
      <formula>"YES"</formula>
    </cfRule>
    <cfRule type="cellIs" dxfId="0" priority="19" stopIfTrue="1" operator="equal">
      <formula>"NO"</formula>
    </cfRule>
  </conditionalFormatting>
  <conditionalFormatting sqref="J12:J13">
    <cfRule type="colorScale" priority="17">
      <colorScale>
        <cfvo type="num" val="0.4"/>
        <cfvo type="num" val="0.7"/>
        <cfvo type="num" val="1"/>
        <color rgb="FFFF3437"/>
        <color rgb="FFFFFF00"/>
        <color rgb="FF00B050"/>
      </colorScale>
    </cfRule>
  </conditionalFormatting>
  <pageMargins left="0.7" right="0.7" top="0.75" bottom="0.75" header="0.3" footer="0.3"/>
  <pageSetup scale="8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630EE7-0412-1044-B39D-2EF79015CB84}">
          <x14:formula1>
            <xm:f>KEY!$D$6:$D$70</xm:f>
          </x14:formula1>
          <xm:sqref>D1:G1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71EDB-74FF-E548-BB71-AB7903EDE6E9}">
  <sheetPr>
    <tabColor rgb="FFFFFF00"/>
  </sheetPr>
  <dimension ref="A1:V1328"/>
  <sheetViews>
    <sheetView topLeftCell="A2" workbookViewId="0">
      <pane xSplit="9" ySplit="1" topLeftCell="J516" activePane="bottomRight" state="frozen"/>
      <selection pane="topRight" activeCell="D1" sqref="D1:G1"/>
      <selection pane="bottomLeft" activeCell="D1" sqref="D1:G1"/>
      <selection pane="bottomRight" activeCell="M523" sqref="M523:N523"/>
    </sheetView>
  </sheetViews>
  <sheetFormatPr defaultColWidth="11" defaultRowHeight="15.75"/>
  <cols>
    <col min="1" max="1" width="12.875" customWidth="1"/>
    <col min="2" max="2" width="10.625" style="28" hidden="1" customWidth="1"/>
    <col min="3" max="3" width="10.625" style="33" hidden="1" customWidth="1"/>
    <col min="4" max="4" width="32.875" hidden="1" customWidth="1"/>
    <col min="5" max="5" width="22.375" customWidth="1"/>
    <col min="6" max="6" width="18.875" hidden="1" customWidth="1"/>
    <col min="7" max="7" width="30.625" hidden="1" customWidth="1"/>
    <col min="10" max="10" width="30.875" style="108" customWidth="1"/>
    <col min="11" max="11" width="19.5" bestFit="1" customWidth="1"/>
    <col min="12" max="12" width="24.125" bestFit="1" customWidth="1"/>
    <col min="13" max="22" width="16.875" customWidth="1"/>
  </cols>
  <sheetData>
    <row r="1" spans="1:22" hidden="1">
      <c r="M1" s="28">
        <v>4</v>
      </c>
      <c r="N1" s="28">
        <v>5</v>
      </c>
      <c r="O1" s="28">
        <v>6</v>
      </c>
      <c r="P1" s="28">
        <v>7</v>
      </c>
      <c r="Q1" s="28"/>
      <c r="R1" s="28"/>
      <c r="S1" s="28"/>
      <c r="T1" s="28"/>
      <c r="U1" s="28"/>
      <c r="V1" s="28"/>
    </row>
    <row r="2" spans="1:22" ht="16.5" thickBot="1">
      <c r="A2" s="24" t="s">
        <v>50</v>
      </c>
      <c r="B2" s="34"/>
      <c r="C2" s="35"/>
      <c r="D2" s="24" t="s">
        <v>34</v>
      </c>
      <c r="E2" s="24"/>
      <c r="F2" s="24"/>
      <c r="G2" s="24" t="s">
        <v>51</v>
      </c>
      <c r="H2" s="34" t="s">
        <v>24</v>
      </c>
      <c r="I2" s="34" t="s">
        <v>25</v>
      </c>
      <c r="J2" s="109" t="s">
        <v>34</v>
      </c>
      <c r="K2" s="24" t="s">
        <v>52</v>
      </c>
      <c r="L2" s="24" t="s">
        <v>53</v>
      </c>
      <c r="M2" s="24" t="s">
        <v>3</v>
      </c>
      <c r="N2" s="24" t="s">
        <v>4</v>
      </c>
      <c r="O2" s="24" t="s">
        <v>5</v>
      </c>
      <c r="P2" s="24" t="s">
        <v>6</v>
      </c>
      <c r="Q2" s="24"/>
      <c r="R2" s="24"/>
      <c r="S2" s="24"/>
      <c r="T2" s="24"/>
      <c r="U2" s="24"/>
      <c r="V2" s="24"/>
    </row>
    <row r="3" spans="1:22" hidden="1">
      <c r="A3" s="23" t="str">
        <f t="shared" ref="A3:A5" si="0">B3&amp;" Shop "&amp;C3</f>
        <v>Q1 Shop 1</v>
      </c>
      <c r="B3" s="36" t="s">
        <v>54</v>
      </c>
      <c r="C3" s="33">
        <v>1</v>
      </c>
      <c r="D3" t="str">
        <f t="shared" ref="D3:D66" si="1">IF($J3="","",$J3)</f>
        <v>Acura North Scottsdale</v>
      </c>
      <c r="E3" t="str">
        <f>IF($J3="","",IFERROR(VLOOKUP($J3,KEY!$D$6:$F$76,3,FALSE),""))</f>
        <v>Arizona</v>
      </c>
      <c r="F3" t="str">
        <f>IF($J3="","",IFERROR(VLOOKUP($J3,KEY!$D$6:$F$76,2,FALSE),""))</f>
        <v>Acura</v>
      </c>
      <c r="G3" t="str">
        <f t="shared" ref="G3:G5" si="2">IF($J3="","",A3&amp;"_"&amp;D3)</f>
        <v>Q1 Shop 1_Acura North Scottsdale</v>
      </c>
      <c r="H3" s="30">
        <f t="shared" ref="H3:H34" si="3">IF($J3="","",COUNTIF($M3:$V3,"*"))</f>
        <v>4</v>
      </c>
      <c r="I3" s="30">
        <f t="shared" ref="I3:I34" si="4">IF($J3="","",COUNTIF($M3:$V3,"YES*"))</f>
        <v>3</v>
      </c>
      <c r="J3" s="110" t="s">
        <v>35</v>
      </c>
      <c r="L3" t="s">
        <v>55</v>
      </c>
      <c r="M3" t="s">
        <v>56</v>
      </c>
      <c r="N3" t="s">
        <v>57</v>
      </c>
      <c r="O3" t="s">
        <v>57</v>
      </c>
      <c r="P3" t="s">
        <v>57</v>
      </c>
    </row>
    <row r="4" spans="1:22" hidden="1">
      <c r="A4" s="23" t="str">
        <f t="shared" si="0"/>
        <v>Q1 Shop 1</v>
      </c>
      <c r="B4" s="36" t="s">
        <v>54</v>
      </c>
      <c r="C4" s="33">
        <v>1</v>
      </c>
      <c r="D4" t="str">
        <f t="shared" si="1"/>
        <v>Acura of Escondido</v>
      </c>
      <c r="E4" t="str">
        <f>IF($J4="","",IFERROR(VLOOKUP($J4,KEY!$D$6:$F$76,3,FALSE),""))</f>
        <v>Southern California</v>
      </c>
      <c r="F4" t="str">
        <f>IF($J4="","",IFERROR(VLOOKUP($J4,KEY!$D$6:$F$76,2,FALSE),""))</f>
        <v>Acura</v>
      </c>
      <c r="G4" t="str">
        <f t="shared" si="2"/>
        <v>Q1 Shop 1_Acura of Escondido</v>
      </c>
      <c r="H4" s="30">
        <f t="shared" si="3"/>
        <v>4</v>
      </c>
      <c r="I4" s="30">
        <f t="shared" si="4"/>
        <v>3</v>
      </c>
      <c r="J4" s="110" t="s">
        <v>58</v>
      </c>
      <c r="L4" t="s">
        <v>59</v>
      </c>
      <c r="M4" t="s">
        <v>57</v>
      </c>
      <c r="N4" t="s">
        <v>56</v>
      </c>
      <c r="O4" t="s">
        <v>57</v>
      </c>
      <c r="P4" t="s">
        <v>57</v>
      </c>
    </row>
    <row r="5" spans="1:22" hidden="1">
      <c r="A5" s="23" t="str">
        <f t="shared" si="0"/>
        <v>Q1 Shop 1</v>
      </c>
      <c r="B5" s="36" t="str">
        <f t="shared" ref="B5:B68" si="5">B4</f>
        <v>Q1</v>
      </c>
      <c r="C5" s="33">
        <f t="shared" ref="C5:C68" si="6">C4</f>
        <v>1</v>
      </c>
      <c r="D5" t="str">
        <f t="shared" si="1"/>
        <v>Audi Chandler</v>
      </c>
      <c r="E5" t="str">
        <f>IF($J5="","",IFERROR(VLOOKUP($J5,KEY!$D$6:$F$76,3,FALSE),""))</f>
        <v>Arizona</v>
      </c>
      <c r="F5" t="str">
        <f>IF($J5="","",IFERROR(VLOOKUP($J5,KEY!$D$6:$F$76,2,FALSE),""))</f>
        <v>Audi</v>
      </c>
      <c r="G5" t="str">
        <f t="shared" si="2"/>
        <v>Q1 Shop 1_Audi Chandler</v>
      </c>
      <c r="H5" s="30">
        <f t="shared" si="3"/>
        <v>4</v>
      </c>
      <c r="I5" s="30">
        <f t="shared" si="4"/>
        <v>4</v>
      </c>
      <c r="J5" s="110" t="s">
        <v>60</v>
      </c>
      <c r="L5" t="s">
        <v>61</v>
      </c>
      <c r="M5" t="s">
        <v>57</v>
      </c>
      <c r="N5" t="s">
        <v>57</v>
      </c>
      <c r="O5" t="s">
        <v>57</v>
      </c>
      <c r="P5" t="s">
        <v>57</v>
      </c>
    </row>
    <row r="6" spans="1:22" hidden="1">
      <c r="A6" s="23" t="str">
        <f t="shared" ref="A6:A69" si="7">B6&amp;" Shop "&amp;C6</f>
        <v>Q1 Shop 1</v>
      </c>
      <c r="B6" s="36" t="str">
        <f t="shared" si="5"/>
        <v>Q1</v>
      </c>
      <c r="C6" s="33">
        <f t="shared" si="6"/>
        <v>1</v>
      </c>
      <c r="D6" t="str">
        <f t="shared" si="1"/>
        <v>Audi Escondido</v>
      </c>
      <c r="E6" t="str">
        <f>IF($J6="","",IFERROR(VLOOKUP($J6,KEY!$D$6:$F$76,3,FALSE),""))</f>
        <v>Southern California</v>
      </c>
      <c r="F6" t="str">
        <f>IF($J6="","",IFERROR(VLOOKUP($J6,KEY!$D$6:$F$76,2,FALSE),""))</f>
        <v>Audi</v>
      </c>
      <c r="G6" t="str">
        <f t="shared" ref="G6:G69" si="8">IF($J6="","",A6&amp;"_"&amp;D6)</f>
        <v>Q1 Shop 1_Audi Escondido</v>
      </c>
      <c r="H6" s="30">
        <f t="shared" si="3"/>
        <v>4</v>
      </c>
      <c r="I6" s="30">
        <f t="shared" si="4"/>
        <v>4</v>
      </c>
      <c r="J6" s="110" t="s">
        <v>62</v>
      </c>
      <c r="L6" t="s">
        <v>63</v>
      </c>
      <c r="M6" t="s">
        <v>57</v>
      </c>
      <c r="N6" t="s">
        <v>57</v>
      </c>
      <c r="O6" t="s">
        <v>57</v>
      </c>
      <c r="P6" t="s">
        <v>57</v>
      </c>
    </row>
    <row r="7" spans="1:22" hidden="1">
      <c r="A7" s="23" t="str">
        <f t="shared" si="7"/>
        <v>Q1 Shop 1</v>
      </c>
      <c r="B7" s="36" t="str">
        <f t="shared" si="5"/>
        <v>Q1</v>
      </c>
      <c r="C7" s="33">
        <f t="shared" si="6"/>
        <v>1</v>
      </c>
      <c r="D7" t="str">
        <f t="shared" si="1"/>
        <v>Audi North OC</v>
      </c>
      <c r="E7" t="str">
        <f>IF($J7="","",IFERROR(VLOOKUP($J7,KEY!$D$6:$F$76,3,FALSE),""))</f>
        <v>Orange County</v>
      </c>
      <c r="F7" t="str">
        <f>IF($J7="","",IFERROR(VLOOKUP($J7,KEY!$D$6:$F$76,2,FALSE),""))</f>
        <v>Audi</v>
      </c>
      <c r="G7" t="str">
        <f t="shared" si="8"/>
        <v>Q1 Shop 1_Audi North OC</v>
      </c>
      <c r="H7" s="30">
        <f t="shared" si="3"/>
        <v>4</v>
      </c>
      <c r="I7" s="30">
        <f t="shared" si="4"/>
        <v>4</v>
      </c>
      <c r="J7" s="110" t="s">
        <v>64</v>
      </c>
      <c r="L7" t="s">
        <v>65</v>
      </c>
      <c r="M7" t="s">
        <v>57</v>
      </c>
      <c r="N7" t="s">
        <v>57</v>
      </c>
      <c r="O7" t="s">
        <v>57</v>
      </c>
      <c r="P7" t="s">
        <v>57</v>
      </c>
    </row>
    <row r="8" spans="1:22" hidden="1">
      <c r="A8" s="23" t="str">
        <f t="shared" si="7"/>
        <v>Q1 Shop 1</v>
      </c>
      <c r="B8" s="36" t="str">
        <f t="shared" si="5"/>
        <v>Q1</v>
      </c>
      <c r="C8" s="33">
        <f t="shared" si="6"/>
        <v>1</v>
      </c>
      <c r="D8" t="str">
        <f t="shared" si="1"/>
        <v>Audi North Scottsdale</v>
      </c>
      <c r="E8" t="str">
        <f>IF($J8="","",IFERROR(VLOOKUP($J8,KEY!$D$6:$F$76,3,FALSE),""))</f>
        <v>Arizona</v>
      </c>
      <c r="F8" t="str">
        <f>IF($J8="","",IFERROR(VLOOKUP($J8,KEY!$D$6:$F$76,2,FALSE),""))</f>
        <v>Audi</v>
      </c>
      <c r="G8" t="str">
        <f t="shared" si="8"/>
        <v>Q1 Shop 1_Audi North Scottsdale</v>
      </c>
      <c r="H8" s="30">
        <f t="shared" si="3"/>
        <v>4</v>
      </c>
      <c r="I8" s="30">
        <f t="shared" si="4"/>
        <v>4</v>
      </c>
      <c r="J8" s="110" t="s">
        <v>66</v>
      </c>
      <c r="L8" t="s">
        <v>67</v>
      </c>
      <c r="M8" t="s">
        <v>57</v>
      </c>
      <c r="N8" t="s">
        <v>57</v>
      </c>
      <c r="O8" t="s">
        <v>57</v>
      </c>
      <c r="P8" t="s">
        <v>57</v>
      </c>
    </row>
    <row r="9" spans="1:22" hidden="1">
      <c r="A9" s="23" t="str">
        <f t="shared" si="7"/>
        <v>Q1 Shop 1</v>
      </c>
      <c r="B9" s="36" t="str">
        <f t="shared" si="5"/>
        <v>Q1</v>
      </c>
      <c r="C9" s="33">
        <f t="shared" si="6"/>
        <v>1</v>
      </c>
      <c r="D9" t="str">
        <f t="shared" si="1"/>
        <v>Audi San Jose</v>
      </c>
      <c r="E9" t="str">
        <f>IF($J9="","",IFERROR(VLOOKUP($J9,KEY!$D$6:$F$76,3,FALSE),""))</f>
        <v>Northern California</v>
      </c>
      <c r="F9" t="str">
        <f>IF($J9="","",IFERROR(VLOOKUP($J9,KEY!$D$6:$F$76,2,FALSE),""))</f>
        <v>Audi</v>
      </c>
      <c r="G9" t="str">
        <f t="shared" si="8"/>
        <v>Q1 Shop 1_Audi San Jose</v>
      </c>
      <c r="H9" s="30">
        <f t="shared" si="3"/>
        <v>4</v>
      </c>
      <c r="I9" s="30">
        <f t="shared" si="4"/>
        <v>3</v>
      </c>
      <c r="J9" s="110" t="s">
        <v>68</v>
      </c>
      <c r="L9" t="s">
        <v>69</v>
      </c>
      <c r="M9" t="s">
        <v>57</v>
      </c>
      <c r="N9" t="s">
        <v>56</v>
      </c>
      <c r="O9" t="s">
        <v>57</v>
      </c>
      <c r="P9" t="s">
        <v>57</v>
      </c>
    </row>
    <row r="10" spans="1:22" hidden="1">
      <c r="A10" s="23" t="str">
        <f t="shared" si="7"/>
        <v>Q1 Shop 1</v>
      </c>
      <c r="B10" s="36" t="str">
        <f t="shared" si="5"/>
        <v>Q1</v>
      </c>
      <c r="C10" s="33">
        <f t="shared" si="6"/>
        <v>1</v>
      </c>
      <c r="D10" t="str">
        <f t="shared" si="1"/>
        <v>Audi South Coast</v>
      </c>
      <c r="E10" t="str">
        <f>IF($J10="","",IFERROR(VLOOKUP($J10,KEY!$D$6:$F$76,3,FALSE),""))</f>
        <v>Orange County</v>
      </c>
      <c r="F10" t="str">
        <f>IF($J10="","",IFERROR(VLOOKUP($J10,KEY!$D$6:$F$76,2,FALSE),""))</f>
        <v>Audi</v>
      </c>
      <c r="G10" t="str">
        <f t="shared" si="8"/>
        <v>Q1 Shop 1_Audi South Coast</v>
      </c>
      <c r="H10" s="30">
        <f t="shared" si="3"/>
        <v>4</v>
      </c>
      <c r="I10" s="30">
        <f t="shared" si="4"/>
        <v>4</v>
      </c>
      <c r="J10" s="110" t="s">
        <v>70</v>
      </c>
      <c r="L10" t="s">
        <v>71</v>
      </c>
      <c r="M10" t="s">
        <v>57</v>
      </c>
      <c r="N10" t="s">
        <v>57</v>
      </c>
      <c r="O10" t="s">
        <v>57</v>
      </c>
      <c r="P10" t="s">
        <v>57</v>
      </c>
    </row>
    <row r="11" spans="1:22" hidden="1">
      <c r="A11" s="23" t="str">
        <f t="shared" si="7"/>
        <v>Q1 Shop 1</v>
      </c>
      <c r="B11" s="36" t="str">
        <f t="shared" si="5"/>
        <v>Q1</v>
      </c>
      <c r="C11" s="33">
        <f t="shared" si="6"/>
        <v>1</v>
      </c>
      <c r="D11" t="str">
        <f t="shared" si="1"/>
        <v>Bentley Scottsdale</v>
      </c>
      <c r="E11" t="str">
        <f>IF($J11="","",IFERROR(VLOOKUP($J11,KEY!$D$6:$F$76,3,FALSE),""))</f>
        <v>Arizona</v>
      </c>
      <c r="F11" t="str">
        <f>IF($J11="","",IFERROR(VLOOKUP($J11,KEY!$D$6:$F$76,2,FALSE),""))</f>
        <v>Ultra</v>
      </c>
      <c r="G11" t="str">
        <f t="shared" si="8"/>
        <v>Q1 Shop 1_Bentley Scottsdale</v>
      </c>
      <c r="H11" s="30">
        <f t="shared" si="3"/>
        <v>4</v>
      </c>
      <c r="I11" s="30">
        <f t="shared" si="4"/>
        <v>3</v>
      </c>
      <c r="J11" s="110" t="s">
        <v>72</v>
      </c>
      <c r="L11" t="s">
        <v>73</v>
      </c>
      <c r="M11" t="s">
        <v>57</v>
      </c>
      <c r="N11" t="s">
        <v>56</v>
      </c>
      <c r="O11" t="s">
        <v>57</v>
      </c>
      <c r="P11" t="s">
        <v>57</v>
      </c>
    </row>
    <row r="12" spans="1:22" hidden="1">
      <c r="A12" s="23" t="str">
        <f t="shared" si="7"/>
        <v>Q1 Shop 1</v>
      </c>
      <c r="B12" s="36" t="str">
        <f t="shared" si="5"/>
        <v>Q1</v>
      </c>
      <c r="C12" s="33">
        <f t="shared" si="6"/>
        <v>1</v>
      </c>
      <c r="D12" t="str">
        <f t="shared" si="1"/>
        <v>BMW North Scottsdale</v>
      </c>
      <c r="E12" t="str">
        <f>IF($J12="","",IFERROR(VLOOKUP($J12,KEY!$D$6:$F$76,3,FALSE),""))</f>
        <v>Arizona</v>
      </c>
      <c r="F12" t="str">
        <f>IF($J12="","",IFERROR(VLOOKUP($J12,KEY!$D$6:$F$76,2,FALSE),""))</f>
        <v>BMW</v>
      </c>
      <c r="G12" t="str">
        <f t="shared" si="8"/>
        <v>Q1 Shop 1_BMW North Scottsdale</v>
      </c>
      <c r="H12" s="30">
        <f t="shared" si="3"/>
        <v>4</v>
      </c>
      <c r="I12" s="30">
        <f t="shared" si="4"/>
        <v>4</v>
      </c>
      <c r="J12" s="110" t="s">
        <v>74</v>
      </c>
      <c r="L12" t="s">
        <v>75</v>
      </c>
      <c r="M12" t="s">
        <v>57</v>
      </c>
      <c r="N12" t="s">
        <v>57</v>
      </c>
      <c r="O12" t="s">
        <v>57</v>
      </c>
      <c r="P12" t="s">
        <v>57</v>
      </c>
    </row>
    <row r="13" spans="1:22" hidden="1">
      <c r="A13" s="23" t="str">
        <f t="shared" si="7"/>
        <v>Q1 Shop 1</v>
      </c>
      <c r="B13" s="36" t="str">
        <f t="shared" si="5"/>
        <v>Q1</v>
      </c>
      <c r="C13" s="33">
        <f t="shared" si="6"/>
        <v>1</v>
      </c>
      <c r="D13" t="str">
        <f t="shared" si="1"/>
        <v>BMW of Austin</v>
      </c>
      <c r="E13" t="str">
        <f>IF($J13="","",IFERROR(VLOOKUP($J13,KEY!$D$6:$F$76,3,FALSE),""))</f>
        <v>Texas</v>
      </c>
      <c r="F13" t="str">
        <f>IF($J13="","",IFERROR(VLOOKUP($J13,KEY!$D$6:$F$76,2,FALSE),""))</f>
        <v>BMW</v>
      </c>
      <c r="G13" t="str">
        <f t="shared" si="8"/>
        <v>Q1 Shop 1_BMW of Austin</v>
      </c>
      <c r="H13" s="30">
        <f t="shared" si="3"/>
        <v>4</v>
      </c>
      <c r="I13" s="30">
        <f t="shared" si="4"/>
        <v>3</v>
      </c>
      <c r="J13" s="110" t="s">
        <v>76</v>
      </c>
      <c r="L13" t="s">
        <v>77</v>
      </c>
      <c r="M13" t="s">
        <v>56</v>
      </c>
      <c r="N13" t="s">
        <v>57</v>
      </c>
      <c r="O13" t="s">
        <v>57</v>
      </c>
      <c r="P13" t="s">
        <v>57</v>
      </c>
    </row>
    <row r="14" spans="1:22" hidden="1">
      <c r="A14" s="23" t="str">
        <f t="shared" si="7"/>
        <v>Q1 Shop 1</v>
      </c>
      <c r="B14" s="36" t="str">
        <f t="shared" si="5"/>
        <v>Q1</v>
      </c>
      <c r="C14" s="33">
        <f t="shared" si="6"/>
        <v>1</v>
      </c>
      <c r="D14" t="str">
        <f t="shared" si="1"/>
        <v>BMW of Bloomfield Hills</v>
      </c>
      <c r="E14" t="str">
        <f>IF($J14="","",IFERROR(VLOOKUP($J14,KEY!$D$6:$F$76,3,FALSE),""))</f>
        <v>Michigan &amp; Minnesota</v>
      </c>
      <c r="F14" t="str">
        <f>IF($J14="","",IFERROR(VLOOKUP($J14,KEY!$D$6:$F$76,2,FALSE),""))</f>
        <v>BMW</v>
      </c>
      <c r="G14" t="str">
        <f t="shared" si="8"/>
        <v>Q1 Shop 1_BMW of Bloomfield Hills</v>
      </c>
      <c r="H14" s="30">
        <f t="shared" si="3"/>
        <v>4</v>
      </c>
      <c r="I14" s="30">
        <f t="shared" si="4"/>
        <v>2</v>
      </c>
      <c r="J14" s="110" t="s">
        <v>78</v>
      </c>
      <c r="L14" t="s">
        <v>79</v>
      </c>
      <c r="M14" t="s">
        <v>57</v>
      </c>
      <c r="N14" t="s">
        <v>56</v>
      </c>
      <c r="O14" t="s">
        <v>57</v>
      </c>
      <c r="P14" t="s">
        <v>56</v>
      </c>
    </row>
    <row r="15" spans="1:22" hidden="1">
      <c r="A15" s="23" t="str">
        <f t="shared" si="7"/>
        <v>Q1 Shop 1</v>
      </c>
      <c r="B15" s="36" t="str">
        <f t="shared" si="5"/>
        <v>Q1</v>
      </c>
      <c r="C15" s="33">
        <f t="shared" si="6"/>
        <v>1</v>
      </c>
      <c r="D15" t="str">
        <f t="shared" si="1"/>
        <v>BMW of Ontario</v>
      </c>
      <c r="E15" t="str">
        <f>IF($J15="","",IFERROR(VLOOKUP($J15,KEY!$D$6:$F$76,3,FALSE),""))</f>
        <v>Orange County</v>
      </c>
      <c r="F15" t="str">
        <f>IF($J15="","",IFERROR(VLOOKUP($J15,KEY!$D$6:$F$76,2,FALSE),""))</f>
        <v>BMW</v>
      </c>
      <c r="G15" t="str">
        <f t="shared" si="8"/>
        <v>Q1 Shop 1_BMW of Ontario</v>
      </c>
      <c r="H15" s="30">
        <f t="shared" si="3"/>
        <v>4</v>
      </c>
      <c r="I15" s="30">
        <f t="shared" si="4"/>
        <v>4</v>
      </c>
      <c r="J15" s="110" t="s">
        <v>80</v>
      </c>
      <c r="L15" t="s">
        <v>81</v>
      </c>
      <c r="M15" t="s">
        <v>57</v>
      </c>
      <c r="N15" t="s">
        <v>57</v>
      </c>
      <c r="O15" t="s">
        <v>57</v>
      </c>
      <c r="P15" t="s">
        <v>57</v>
      </c>
    </row>
    <row r="16" spans="1:22" hidden="1">
      <c r="A16" s="23" t="str">
        <f t="shared" si="7"/>
        <v>Q1 Shop 1</v>
      </c>
      <c r="B16" s="36" t="str">
        <f t="shared" si="5"/>
        <v>Q1</v>
      </c>
      <c r="C16" s="33">
        <f t="shared" si="6"/>
        <v>1</v>
      </c>
      <c r="D16" t="str">
        <f t="shared" si="1"/>
        <v>BMW of San Diego</v>
      </c>
      <c r="E16" t="str">
        <f>IF($J16="","",IFERROR(VLOOKUP($J16,KEY!$D$6:$F$76,3,FALSE),""))</f>
        <v>Southern California</v>
      </c>
      <c r="F16" t="str">
        <f>IF($J16="","",IFERROR(VLOOKUP($J16,KEY!$D$6:$F$76,2,FALSE),""))</f>
        <v>BMW</v>
      </c>
      <c r="G16" t="str">
        <f t="shared" si="8"/>
        <v>Q1 Shop 1_BMW of San Diego</v>
      </c>
      <c r="H16" s="30">
        <f t="shared" si="3"/>
        <v>4</v>
      </c>
      <c r="I16" s="30">
        <f t="shared" si="4"/>
        <v>4</v>
      </c>
      <c r="J16" s="110" t="s">
        <v>82</v>
      </c>
      <c r="L16" t="s">
        <v>83</v>
      </c>
      <c r="M16" t="s">
        <v>57</v>
      </c>
      <c r="N16" t="s">
        <v>57</v>
      </c>
      <c r="O16" t="s">
        <v>57</v>
      </c>
      <c r="P16" t="s">
        <v>57</v>
      </c>
    </row>
    <row r="17" spans="1:16" hidden="1">
      <c r="A17" s="23" t="str">
        <f t="shared" si="7"/>
        <v>Q1 Shop 1</v>
      </c>
      <c r="B17" s="36" t="str">
        <f t="shared" si="5"/>
        <v>Q1</v>
      </c>
      <c r="C17" s="33">
        <f t="shared" si="6"/>
        <v>1</v>
      </c>
      <c r="D17" t="str">
        <f t="shared" si="1"/>
        <v>BMW/MINI of Escondido</v>
      </c>
      <c r="E17" t="str">
        <f>IF($J17="","",IFERROR(VLOOKUP($J17,KEY!$D$6:$F$76,3,FALSE),""))</f>
        <v>Southern California</v>
      </c>
      <c r="F17" t="str">
        <f>IF($J17="","",IFERROR(VLOOKUP($J17,KEY!$D$6:$F$76,2,FALSE),""))</f>
        <v>BMW</v>
      </c>
      <c r="G17" t="str">
        <f t="shared" si="8"/>
        <v>Q1 Shop 1_BMW/MINI of Escondido</v>
      </c>
      <c r="H17" s="30">
        <f t="shared" si="3"/>
        <v>4</v>
      </c>
      <c r="I17" s="30">
        <f t="shared" si="4"/>
        <v>4</v>
      </c>
      <c r="J17" s="110" t="s">
        <v>84</v>
      </c>
      <c r="L17" t="s">
        <v>85</v>
      </c>
      <c r="M17" t="s">
        <v>57</v>
      </c>
      <c r="N17" t="s">
        <v>57</v>
      </c>
      <c r="O17" t="s">
        <v>57</v>
      </c>
      <c r="P17" t="s">
        <v>57</v>
      </c>
    </row>
    <row r="18" spans="1:16" hidden="1">
      <c r="A18" s="23" t="str">
        <f t="shared" si="7"/>
        <v>Q1 Shop 1</v>
      </c>
      <c r="B18" s="36" t="str">
        <f t="shared" si="5"/>
        <v>Q1</v>
      </c>
      <c r="C18" s="33">
        <f t="shared" si="6"/>
        <v>1</v>
      </c>
      <c r="D18" t="str">
        <f t="shared" si="1"/>
        <v>Capitol Acura</v>
      </c>
      <c r="E18" t="str">
        <f>IF($J18="","",IFERROR(VLOOKUP($J18,KEY!$D$6:$F$76,3,FALSE),""))</f>
        <v>Northern California</v>
      </c>
      <c r="F18" t="str">
        <f>IF($J18="","",IFERROR(VLOOKUP($J18,KEY!$D$6:$F$76,2,FALSE),""))</f>
        <v>Acura</v>
      </c>
      <c r="G18" t="str">
        <f t="shared" si="8"/>
        <v>Q1 Shop 1_Capitol Acura</v>
      </c>
      <c r="H18" s="30">
        <f t="shared" si="3"/>
        <v>4</v>
      </c>
      <c r="I18" s="30">
        <f t="shared" si="4"/>
        <v>3</v>
      </c>
      <c r="J18" s="110" t="s">
        <v>86</v>
      </c>
      <c r="L18" t="s">
        <v>87</v>
      </c>
      <c r="M18" t="s">
        <v>57</v>
      </c>
      <c r="N18" t="s">
        <v>56</v>
      </c>
      <c r="O18" t="s">
        <v>57</v>
      </c>
      <c r="P18" t="s">
        <v>57</v>
      </c>
    </row>
    <row r="19" spans="1:16" hidden="1">
      <c r="A19" s="23" t="str">
        <f t="shared" si="7"/>
        <v>Q1 Shop 1</v>
      </c>
      <c r="B19" s="36" t="str">
        <f t="shared" si="5"/>
        <v>Q1</v>
      </c>
      <c r="C19" s="33">
        <f t="shared" si="6"/>
        <v>1</v>
      </c>
      <c r="D19" t="str">
        <f t="shared" si="1"/>
        <v>Capitol Honda</v>
      </c>
      <c r="E19" t="str">
        <f>IF($J19="","",IFERROR(VLOOKUP($J19,KEY!$D$6:$F$76,3,FALSE),""))</f>
        <v>Northern California</v>
      </c>
      <c r="F19" t="str">
        <f>IF($J19="","",IFERROR(VLOOKUP($J19,KEY!$D$6:$F$76,2,FALSE),""))</f>
        <v>Honda</v>
      </c>
      <c r="G19" t="str">
        <f t="shared" si="8"/>
        <v>Q1 Shop 1_Capitol Honda</v>
      </c>
      <c r="H19" s="30">
        <f t="shared" si="3"/>
        <v>4</v>
      </c>
      <c r="I19" s="30">
        <f t="shared" si="4"/>
        <v>3</v>
      </c>
      <c r="J19" s="110" t="s">
        <v>88</v>
      </c>
      <c r="L19" t="s">
        <v>89</v>
      </c>
      <c r="M19" t="s">
        <v>57</v>
      </c>
      <c r="N19" t="s">
        <v>56</v>
      </c>
      <c r="O19" t="s">
        <v>57</v>
      </c>
      <c r="P19" t="s">
        <v>57</v>
      </c>
    </row>
    <row r="20" spans="1:16" hidden="1">
      <c r="A20" s="23" t="str">
        <f t="shared" si="7"/>
        <v>Q1 Shop 1</v>
      </c>
      <c r="B20" s="36" t="str">
        <f t="shared" si="5"/>
        <v>Q1</v>
      </c>
      <c r="C20" s="33">
        <f t="shared" si="6"/>
        <v>1</v>
      </c>
      <c r="D20" t="str">
        <f t="shared" si="1"/>
        <v>Crevier BMW</v>
      </c>
      <c r="E20" t="str">
        <f>IF($J20="","",IFERROR(VLOOKUP($J20,KEY!$D$6:$F$76,3,FALSE),""))</f>
        <v>Orange County</v>
      </c>
      <c r="F20" t="str">
        <f>IF($J20="","",IFERROR(VLOOKUP($J20,KEY!$D$6:$F$76,2,FALSE),""))</f>
        <v>BMW</v>
      </c>
      <c r="G20" t="str">
        <f t="shared" si="8"/>
        <v>Q1 Shop 1_Crevier BMW</v>
      </c>
      <c r="H20" s="30">
        <f t="shared" si="3"/>
        <v>4</v>
      </c>
      <c r="I20" s="30">
        <f t="shared" si="4"/>
        <v>3</v>
      </c>
      <c r="J20" s="110" t="s">
        <v>90</v>
      </c>
      <c r="L20" t="s">
        <v>91</v>
      </c>
      <c r="M20" t="s">
        <v>57</v>
      </c>
      <c r="N20" t="s">
        <v>56</v>
      </c>
      <c r="O20" t="s">
        <v>57</v>
      </c>
      <c r="P20" t="s">
        <v>57</v>
      </c>
    </row>
    <row r="21" spans="1:16" hidden="1">
      <c r="A21" s="23" t="str">
        <f t="shared" si="7"/>
        <v>Q1 Shop 1</v>
      </c>
      <c r="B21" s="36" t="str">
        <f t="shared" si="5"/>
        <v>Q1</v>
      </c>
      <c r="C21" s="33">
        <f t="shared" si="6"/>
        <v>1</v>
      </c>
      <c r="D21" t="str">
        <f t="shared" si="1"/>
        <v>Crevier MINI</v>
      </c>
      <c r="E21" t="str">
        <f>IF($J21="","",IFERROR(VLOOKUP($J21,KEY!$D$6:$F$76,3,FALSE),""))</f>
        <v>Orange County</v>
      </c>
      <c r="F21" t="str">
        <f>IF($J21="","",IFERROR(VLOOKUP($J21,KEY!$D$6:$F$76,2,FALSE),""))</f>
        <v>MINI</v>
      </c>
      <c r="G21" t="str">
        <f t="shared" si="8"/>
        <v>Q1 Shop 1_Crevier MINI</v>
      </c>
      <c r="H21" s="30">
        <f t="shared" si="3"/>
        <v>4</v>
      </c>
      <c r="I21" s="30">
        <f t="shared" si="4"/>
        <v>4</v>
      </c>
      <c r="J21" s="110" t="s">
        <v>92</v>
      </c>
      <c r="L21" t="s">
        <v>93</v>
      </c>
      <c r="M21" t="s">
        <v>57</v>
      </c>
      <c r="N21" t="s">
        <v>57</v>
      </c>
      <c r="O21" t="s">
        <v>57</v>
      </c>
      <c r="P21" t="s">
        <v>57</v>
      </c>
    </row>
    <row r="22" spans="1:16" hidden="1">
      <c r="A22" s="23" t="str">
        <f t="shared" si="7"/>
        <v>Q1 Shop 1</v>
      </c>
      <c r="B22" s="36" t="str">
        <f t="shared" si="5"/>
        <v>Q1</v>
      </c>
      <c r="C22" s="33">
        <f t="shared" si="6"/>
        <v>1</v>
      </c>
      <c r="D22" t="str">
        <f t="shared" si="1"/>
        <v>East Madison Toyota</v>
      </c>
      <c r="E22" t="str">
        <f>IF($J22="","",IFERROR(VLOOKUP($J22,KEY!$D$6:$F$76,3,FALSE),""))</f>
        <v>Wisconsin</v>
      </c>
      <c r="F22" t="str">
        <f>IF($J22="","",IFERROR(VLOOKUP($J22,KEY!$D$6:$F$76,2,FALSE),""))</f>
        <v>Toyota</v>
      </c>
      <c r="G22" t="str">
        <f t="shared" si="8"/>
        <v>Q1 Shop 1_East Madison Toyota</v>
      </c>
      <c r="H22" s="30">
        <f t="shared" si="3"/>
        <v>4</v>
      </c>
      <c r="I22" s="30">
        <f t="shared" si="4"/>
        <v>4</v>
      </c>
      <c r="J22" s="110" t="s">
        <v>94</v>
      </c>
      <c r="L22" t="s">
        <v>95</v>
      </c>
      <c r="M22" t="s">
        <v>57</v>
      </c>
      <c r="N22" t="s">
        <v>57</v>
      </c>
      <c r="O22" t="s">
        <v>57</v>
      </c>
      <c r="P22" t="s">
        <v>57</v>
      </c>
    </row>
    <row r="23" spans="1:16" hidden="1">
      <c r="A23" s="23" t="str">
        <f t="shared" si="7"/>
        <v>Q1 Shop 1</v>
      </c>
      <c r="B23" s="36" t="str">
        <f t="shared" si="5"/>
        <v>Q1</v>
      </c>
      <c r="C23" s="33">
        <f t="shared" si="6"/>
        <v>1</v>
      </c>
      <c r="D23" t="str">
        <f t="shared" si="1"/>
        <v>Genesis of Noblesville</v>
      </c>
      <c r="E23" t="str">
        <f>IF($J23="","",IFERROR(VLOOKUP($J23,KEY!$D$6:$F$76,3,FALSE),""))</f>
        <v/>
      </c>
      <c r="F23" t="str">
        <f>IF($J23="","",IFERROR(VLOOKUP($J23,KEY!$D$6:$F$76,2,FALSE),""))</f>
        <v/>
      </c>
      <c r="G23" t="str">
        <f t="shared" si="8"/>
        <v>Q1 Shop 1_Genesis of Noblesville</v>
      </c>
      <c r="H23" s="30">
        <f t="shared" si="3"/>
        <v>4</v>
      </c>
      <c r="I23" s="30">
        <f t="shared" si="4"/>
        <v>4</v>
      </c>
      <c r="J23" s="110" t="s">
        <v>96</v>
      </c>
      <c r="L23" t="s">
        <v>97</v>
      </c>
      <c r="M23" t="s">
        <v>57</v>
      </c>
      <c r="N23" t="s">
        <v>57</v>
      </c>
      <c r="O23" t="s">
        <v>57</v>
      </c>
      <c r="P23" t="s">
        <v>57</v>
      </c>
    </row>
    <row r="24" spans="1:16" hidden="1">
      <c r="A24" s="23" t="str">
        <f t="shared" si="7"/>
        <v>Q1 Shop 1</v>
      </c>
      <c r="B24" s="36" t="str">
        <f t="shared" si="5"/>
        <v>Q1</v>
      </c>
      <c r="C24" s="33">
        <f t="shared" si="6"/>
        <v>1</v>
      </c>
      <c r="D24" t="str">
        <f t="shared" si="1"/>
        <v>Genesis of Round Rock</v>
      </c>
      <c r="E24" t="str">
        <f>IF($J24="","",IFERROR(VLOOKUP($J24,KEY!$D$6:$F$76,3,FALSE),""))</f>
        <v>Texas</v>
      </c>
      <c r="F24" t="str">
        <f>IF($J24="","",IFERROR(VLOOKUP($J24,KEY!$D$6:$F$76,2,FALSE),""))</f>
        <v>Genesis</v>
      </c>
      <c r="G24" t="str">
        <f t="shared" si="8"/>
        <v>Q1 Shop 1_Genesis of Round Rock</v>
      </c>
      <c r="H24" s="30">
        <f t="shared" si="3"/>
        <v>4</v>
      </c>
      <c r="I24" s="30">
        <f t="shared" si="4"/>
        <v>3</v>
      </c>
      <c r="J24" s="110" t="s">
        <v>98</v>
      </c>
      <c r="L24" t="s">
        <v>99</v>
      </c>
      <c r="M24" t="s">
        <v>57</v>
      </c>
      <c r="N24" t="s">
        <v>56</v>
      </c>
      <c r="O24" t="s">
        <v>57</v>
      </c>
      <c r="P24" t="s">
        <v>57</v>
      </c>
    </row>
    <row r="25" spans="1:16" hidden="1">
      <c r="A25" s="23" t="str">
        <f t="shared" si="7"/>
        <v>Q1 Shop 1</v>
      </c>
      <c r="B25" s="36" t="str">
        <f t="shared" si="5"/>
        <v>Q1</v>
      </c>
      <c r="C25" s="33">
        <f t="shared" si="6"/>
        <v>1</v>
      </c>
      <c r="D25" t="str">
        <f t="shared" si="1"/>
        <v>Honda Leander</v>
      </c>
      <c r="E25" t="str">
        <f>IF($J25="","",IFERROR(VLOOKUP($J25,KEY!$D$6:$F$76,3,FALSE),""))</f>
        <v>Texas</v>
      </c>
      <c r="F25" t="str">
        <f>IF($J25="","",IFERROR(VLOOKUP($J25,KEY!$D$6:$F$76,2,FALSE),""))</f>
        <v>Honda</v>
      </c>
      <c r="G25" t="str">
        <f t="shared" si="8"/>
        <v>Q1 Shop 1_Honda Leander</v>
      </c>
      <c r="H25" s="30">
        <f t="shared" si="3"/>
        <v>4</v>
      </c>
      <c r="I25" s="30">
        <f t="shared" si="4"/>
        <v>4</v>
      </c>
      <c r="J25" s="110" t="s">
        <v>100</v>
      </c>
      <c r="L25" t="s">
        <v>101</v>
      </c>
      <c r="M25" t="s">
        <v>57</v>
      </c>
      <c r="N25" t="s">
        <v>57</v>
      </c>
      <c r="O25" t="s">
        <v>57</v>
      </c>
      <c r="P25" t="s">
        <v>57</v>
      </c>
    </row>
    <row r="26" spans="1:16" hidden="1">
      <c r="A26" s="23" t="str">
        <f t="shared" si="7"/>
        <v>Q1 Shop 1</v>
      </c>
      <c r="B26" s="36" t="str">
        <f t="shared" si="5"/>
        <v>Q1</v>
      </c>
      <c r="C26" s="33">
        <f t="shared" si="6"/>
        <v>1</v>
      </c>
      <c r="D26" t="str">
        <f t="shared" si="1"/>
        <v>Honda North</v>
      </c>
      <c r="E26" t="str">
        <f>IF($J26="","",IFERROR(VLOOKUP($J26,KEY!$D$6:$F$76,3,FALSE),""))</f>
        <v>Northern California</v>
      </c>
      <c r="F26" t="str">
        <f>IF($J26="","",IFERROR(VLOOKUP($J26,KEY!$D$6:$F$76,2,FALSE),""))</f>
        <v>Honda</v>
      </c>
      <c r="G26" t="str">
        <f t="shared" si="8"/>
        <v>Q1 Shop 1_Honda North</v>
      </c>
      <c r="H26" s="30">
        <f t="shared" si="3"/>
        <v>4</v>
      </c>
      <c r="I26" s="30">
        <f t="shared" si="4"/>
        <v>2</v>
      </c>
      <c r="J26" s="110" t="s">
        <v>102</v>
      </c>
      <c r="L26" t="s">
        <v>103</v>
      </c>
      <c r="M26" t="s">
        <v>57</v>
      </c>
      <c r="N26" t="s">
        <v>56</v>
      </c>
      <c r="O26" t="s">
        <v>57</v>
      </c>
      <c r="P26" t="s">
        <v>56</v>
      </c>
    </row>
    <row r="27" spans="1:16" hidden="1">
      <c r="A27" s="23" t="str">
        <f t="shared" si="7"/>
        <v>Q1 Shop 1</v>
      </c>
      <c r="B27" s="36" t="str">
        <f t="shared" si="5"/>
        <v>Q1</v>
      </c>
      <c r="C27" s="33">
        <f t="shared" si="6"/>
        <v>1</v>
      </c>
      <c r="D27" t="str">
        <f t="shared" si="1"/>
        <v>Honda of Escondido</v>
      </c>
      <c r="E27" t="str">
        <f>IF($J27="","",IFERROR(VLOOKUP($J27,KEY!$D$6:$F$76,3,FALSE),""))</f>
        <v>Southern California</v>
      </c>
      <c r="F27" t="str">
        <f>IF($J27="","",IFERROR(VLOOKUP($J27,KEY!$D$6:$F$76,2,FALSE),""))</f>
        <v>Honda</v>
      </c>
      <c r="G27" t="str">
        <f t="shared" si="8"/>
        <v>Q1 Shop 1_Honda of Escondido</v>
      </c>
      <c r="H27" s="30">
        <f t="shared" si="3"/>
        <v>4</v>
      </c>
      <c r="I27" s="30">
        <f t="shared" si="4"/>
        <v>4</v>
      </c>
      <c r="J27" s="110" t="s">
        <v>104</v>
      </c>
      <c r="L27" t="s">
        <v>105</v>
      </c>
      <c r="M27" t="s">
        <v>57</v>
      </c>
      <c r="N27" t="s">
        <v>57</v>
      </c>
      <c r="O27" t="s">
        <v>57</v>
      </c>
      <c r="P27" t="s">
        <v>57</v>
      </c>
    </row>
    <row r="28" spans="1:16" hidden="1">
      <c r="A28" s="23" t="str">
        <f t="shared" si="7"/>
        <v>Q1 Shop 1</v>
      </c>
      <c r="B28" s="36" t="str">
        <f t="shared" si="5"/>
        <v>Q1</v>
      </c>
      <c r="C28" s="33">
        <f t="shared" si="6"/>
        <v>1</v>
      </c>
      <c r="D28" t="str">
        <f t="shared" si="1"/>
        <v>Hyundai of Noblesville</v>
      </c>
      <c r="E28" t="str">
        <f>IF($J28="","",IFERROR(VLOOKUP($J28,KEY!$D$6:$F$76,3,FALSE),""))</f>
        <v/>
      </c>
      <c r="F28" t="str">
        <f>IF($J28="","",IFERROR(VLOOKUP($J28,KEY!$D$6:$F$76,2,FALSE),""))</f>
        <v/>
      </c>
      <c r="G28" t="str">
        <f t="shared" si="8"/>
        <v>Q1 Shop 1_Hyundai of Noblesville</v>
      </c>
      <c r="H28" s="30">
        <f t="shared" si="3"/>
        <v>4</v>
      </c>
      <c r="I28" s="30">
        <f t="shared" si="4"/>
        <v>3</v>
      </c>
      <c r="J28" s="110" t="s">
        <v>106</v>
      </c>
      <c r="L28" t="s">
        <v>107</v>
      </c>
      <c r="M28" t="s">
        <v>57</v>
      </c>
      <c r="N28" t="s">
        <v>56</v>
      </c>
      <c r="O28" t="s">
        <v>57</v>
      </c>
      <c r="P28" t="s">
        <v>57</v>
      </c>
    </row>
    <row r="29" spans="1:16" hidden="1">
      <c r="A29" s="23" t="str">
        <f t="shared" si="7"/>
        <v>Q1 Shop 1</v>
      </c>
      <c r="B29" s="36" t="str">
        <f t="shared" si="5"/>
        <v>Q1</v>
      </c>
      <c r="C29" s="33">
        <f t="shared" si="6"/>
        <v>1</v>
      </c>
      <c r="D29" t="str">
        <f t="shared" si="1"/>
        <v>Hyundai of Pharr</v>
      </c>
      <c r="E29" t="str">
        <f>IF($J29="","",IFERROR(VLOOKUP($J29,KEY!$D$6:$F$76,3,FALSE),""))</f>
        <v>Texas</v>
      </c>
      <c r="F29" t="str">
        <f>IF($J29="","",IFERROR(VLOOKUP($J29,KEY!$D$6:$F$76,2,FALSE),""))</f>
        <v>Hyundai</v>
      </c>
      <c r="G29" t="str">
        <f t="shared" si="8"/>
        <v>Q1 Shop 1_Hyundai of Pharr</v>
      </c>
      <c r="H29" s="30">
        <f t="shared" si="3"/>
        <v>4</v>
      </c>
      <c r="I29" s="30">
        <f t="shared" si="4"/>
        <v>4</v>
      </c>
      <c r="J29" s="110" t="s">
        <v>108</v>
      </c>
      <c r="L29" t="s">
        <v>109</v>
      </c>
      <c r="M29" t="s">
        <v>57</v>
      </c>
      <c r="N29" t="s">
        <v>57</v>
      </c>
      <c r="O29" t="s">
        <v>57</v>
      </c>
      <c r="P29" t="s">
        <v>57</v>
      </c>
    </row>
    <row r="30" spans="1:16" hidden="1">
      <c r="A30" s="23" t="str">
        <f t="shared" si="7"/>
        <v>Q1 Shop 1</v>
      </c>
      <c r="B30" s="36" t="str">
        <f t="shared" si="5"/>
        <v>Q1</v>
      </c>
      <c r="C30" s="33">
        <f t="shared" si="6"/>
        <v>1</v>
      </c>
      <c r="D30" t="str">
        <f t="shared" si="1"/>
        <v>Kearny Mesa Acura</v>
      </c>
      <c r="E30" t="str">
        <f>IF($J30="","",IFERROR(VLOOKUP($J30,KEY!$D$6:$F$76,3,FALSE),""))</f>
        <v/>
      </c>
      <c r="F30" t="str">
        <f>IF($J30="","",IFERROR(VLOOKUP($J30,KEY!$D$6:$F$76,2,FALSE),""))</f>
        <v/>
      </c>
      <c r="G30" t="str">
        <f t="shared" si="8"/>
        <v>Q1 Shop 1_Kearny Mesa Acura</v>
      </c>
      <c r="H30" s="30">
        <f t="shared" si="3"/>
        <v>4</v>
      </c>
      <c r="I30" s="30">
        <f t="shared" si="4"/>
        <v>3</v>
      </c>
      <c r="J30" s="110" t="s">
        <v>110</v>
      </c>
      <c r="L30" t="s">
        <v>111</v>
      </c>
      <c r="M30" t="s">
        <v>57</v>
      </c>
      <c r="N30" t="s">
        <v>56</v>
      </c>
      <c r="O30" t="s">
        <v>57</v>
      </c>
      <c r="P30" t="s">
        <v>57</v>
      </c>
    </row>
    <row r="31" spans="1:16" hidden="1">
      <c r="A31" s="23" t="str">
        <f t="shared" si="7"/>
        <v>Q1 Shop 1</v>
      </c>
      <c r="B31" s="36" t="str">
        <f t="shared" si="5"/>
        <v>Q1</v>
      </c>
      <c r="C31" s="33">
        <f t="shared" si="6"/>
        <v>1</v>
      </c>
      <c r="D31" t="str">
        <f t="shared" si="1"/>
        <v>Kearny Mesa Toyota</v>
      </c>
      <c r="E31" t="str">
        <f>IF($J31="","",IFERROR(VLOOKUP($J31,KEY!$D$6:$F$76,3,FALSE),""))</f>
        <v>Southern California</v>
      </c>
      <c r="F31" t="str">
        <f>IF($J31="","",IFERROR(VLOOKUP($J31,KEY!$D$6:$F$76,2,FALSE),""))</f>
        <v>Toyota</v>
      </c>
      <c r="G31" t="str">
        <f t="shared" si="8"/>
        <v>Q1 Shop 1_Kearny Mesa Toyota</v>
      </c>
      <c r="H31" s="30">
        <f t="shared" si="3"/>
        <v>4</v>
      </c>
      <c r="I31" s="30">
        <f t="shared" si="4"/>
        <v>4</v>
      </c>
      <c r="J31" s="110" t="s">
        <v>112</v>
      </c>
      <c r="L31" t="s">
        <v>113</v>
      </c>
      <c r="M31" t="s">
        <v>57</v>
      </c>
      <c r="N31" t="s">
        <v>57</v>
      </c>
      <c r="O31" t="s">
        <v>57</v>
      </c>
      <c r="P31" t="s">
        <v>57</v>
      </c>
    </row>
    <row r="32" spans="1:16" hidden="1">
      <c r="A32" s="23" t="str">
        <f t="shared" si="7"/>
        <v>Q1 Shop 1</v>
      </c>
      <c r="B32" s="36" t="str">
        <f t="shared" si="5"/>
        <v>Q1</v>
      </c>
      <c r="C32" s="33">
        <f t="shared" si="6"/>
        <v>1</v>
      </c>
      <c r="D32" t="str">
        <f t="shared" si="1"/>
        <v>Lamborghini North Scottsdale</v>
      </c>
      <c r="E32" t="str">
        <f>IF($J32="","",IFERROR(VLOOKUP($J32,KEY!$D$6:$F$76,3,FALSE),""))</f>
        <v>Arizona</v>
      </c>
      <c r="F32" t="str">
        <f>IF($J32="","",IFERROR(VLOOKUP($J32,KEY!$D$6:$F$76,2,FALSE),""))</f>
        <v>Ultra</v>
      </c>
      <c r="G32" t="str">
        <f t="shared" si="8"/>
        <v>Q1 Shop 1_Lamborghini North Scottsdale</v>
      </c>
      <c r="H32" s="30">
        <f t="shared" si="3"/>
        <v>4</v>
      </c>
      <c r="I32" s="30">
        <f t="shared" si="4"/>
        <v>4</v>
      </c>
      <c r="J32" s="110" t="s">
        <v>114</v>
      </c>
      <c r="L32" t="s">
        <v>115</v>
      </c>
      <c r="M32" t="s">
        <v>57</v>
      </c>
      <c r="N32" t="s">
        <v>57</v>
      </c>
      <c r="O32" t="s">
        <v>57</v>
      </c>
      <c r="P32" t="s">
        <v>57</v>
      </c>
    </row>
    <row r="33" spans="1:16" hidden="1">
      <c r="A33" s="23" t="str">
        <f t="shared" si="7"/>
        <v>Q1 Shop 1</v>
      </c>
      <c r="B33" s="36" t="str">
        <f t="shared" si="5"/>
        <v>Q1</v>
      </c>
      <c r="C33" s="33">
        <f t="shared" si="6"/>
        <v>1</v>
      </c>
      <c r="D33" t="str">
        <f t="shared" si="1"/>
        <v>Land Rover Chandler</v>
      </c>
      <c r="E33" t="str">
        <f>IF($J33="","",IFERROR(VLOOKUP($J33,KEY!$D$6:$F$76,3,FALSE),""))</f>
        <v>Arizona</v>
      </c>
      <c r="F33" t="str">
        <f>IF($J33="","",IFERROR(VLOOKUP($J33,KEY!$D$6:$F$76,2,FALSE),""))</f>
        <v>LR</v>
      </c>
      <c r="G33" t="str">
        <f t="shared" si="8"/>
        <v>Q1 Shop 1_Land Rover Chandler</v>
      </c>
      <c r="H33" s="30">
        <f t="shared" si="3"/>
        <v>4</v>
      </c>
      <c r="I33" s="30">
        <f t="shared" si="4"/>
        <v>3</v>
      </c>
      <c r="J33" s="110" t="s">
        <v>116</v>
      </c>
      <c r="L33" t="s">
        <v>117</v>
      </c>
      <c r="M33" t="s">
        <v>57</v>
      </c>
      <c r="N33" t="s">
        <v>57</v>
      </c>
      <c r="O33" t="s">
        <v>57</v>
      </c>
      <c r="P33" t="s">
        <v>56</v>
      </c>
    </row>
    <row r="34" spans="1:16" hidden="1">
      <c r="A34" s="23" t="str">
        <f t="shared" si="7"/>
        <v>Q1 Shop 1</v>
      </c>
      <c r="B34" s="36" t="str">
        <f t="shared" si="5"/>
        <v>Q1</v>
      </c>
      <c r="C34" s="33">
        <f t="shared" si="6"/>
        <v>1</v>
      </c>
      <c r="D34" t="str">
        <f t="shared" si="1"/>
        <v>Land Rover North Scottsdale</v>
      </c>
      <c r="E34" t="str">
        <f>IF($J34="","",IFERROR(VLOOKUP($J34,KEY!$D$6:$F$76,3,FALSE),""))</f>
        <v>Arizona</v>
      </c>
      <c r="F34" t="str">
        <f>IF($J34="","",IFERROR(VLOOKUP($J34,KEY!$D$6:$F$76,2,FALSE),""))</f>
        <v>LR</v>
      </c>
      <c r="G34" t="str">
        <f t="shared" si="8"/>
        <v>Q1 Shop 1_Land Rover North Scottsdale</v>
      </c>
      <c r="H34" s="30">
        <f t="shared" si="3"/>
        <v>4</v>
      </c>
      <c r="I34" s="30">
        <f t="shared" si="4"/>
        <v>3</v>
      </c>
      <c r="J34" s="110" t="s">
        <v>118</v>
      </c>
      <c r="L34" t="s">
        <v>119</v>
      </c>
      <c r="M34" t="s">
        <v>57</v>
      </c>
      <c r="N34" t="s">
        <v>56</v>
      </c>
      <c r="O34" t="s">
        <v>57</v>
      </c>
      <c r="P34" t="s">
        <v>57</v>
      </c>
    </row>
    <row r="35" spans="1:16" hidden="1">
      <c r="A35" s="23" t="str">
        <f t="shared" si="7"/>
        <v>Q1 Shop 1</v>
      </c>
      <c r="B35" s="36" t="str">
        <f t="shared" si="5"/>
        <v>Q1</v>
      </c>
      <c r="C35" s="33">
        <f t="shared" si="6"/>
        <v>1</v>
      </c>
      <c r="D35" t="str">
        <f t="shared" si="1"/>
        <v>Lexus of Austin</v>
      </c>
      <c r="E35" t="str">
        <f>IF($J35="","",IFERROR(VLOOKUP($J35,KEY!$D$6:$F$76,3,FALSE),""))</f>
        <v>Texas</v>
      </c>
      <c r="F35" t="str">
        <f>IF($J35="","",IFERROR(VLOOKUP($J35,KEY!$D$6:$F$76,2,FALSE),""))</f>
        <v>Lexus</v>
      </c>
      <c r="G35" t="str">
        <f t="shared" si="8"/>
        <v>Q1 Shop 1_Lexus of Austin</v>
      </c>
      <c r="H35" s="30">
        <f t="shared" ref="H35:H66" si="9">IF($J35="","",COUNTIF($M35:$V35,"*"))</f>
        <v>4</v>
      </c>
      <c r="I35" s="30">
        <f t="shared" ref="I35:I66" si="10">IF($J35="","",COUNTIF($M35:$V35,"YES*"))</f>
        <v>4</v>
      </c>
      <c r="J35" s="110" t="s">
        <v>120</v>
      </c>
      <c r="L35" t="s">
        <v>121</v>
      </c>
      <c r="M35" t="s">
        <v>57</v>
      </c>
      <c r="N35" t="s">
        <v>57</v>
      </c>
      <c r="O35" t="s">
        <v>57</v>
      </c>
      <c r="P35" t="s">
        <v>57</v>
      </c>
    </row>
    <row r="36" spans="1:16" hidden="1">
      <c r="A36" s="23" t="str">
        <f t="shared" si="7"/>
        <v>Q1 Shop 1</v>
      </c>
      <c r="B36" s="36" t="str">
        <f t="shared" si="5"/>
        <v>Q1</v>
      </c>
      <c r="C36" s="33">
        <f t="shared" si="6"/>
        <v>1</v>
      </c>
      <c r="D36" t="str">
        <f t="shared" si="1"/>
        <v>Lexus of Chandler</v>
      </c>
      <c r="E36" t="str">
        <f>IF($J36="","",IFERROR(VLOOKUP($J36,KEY!$D$6:$F$76,3,FALSE),""))</f>
        <v>Arizona</v>
      </c>
      <c r="F36" t="str">
        <f>IF($J36="","",IFERROR(VLOOKUP($J36,KEY!$D$6:$F$76,2,FALSE),""))</f>
        <v>Lexus</v>
      </c>
      <c r="G36" t="str">
        <f t="shared" si="8"/>
        <v>Q1 Shop 1_Lexus of Chandler</v>
      </c>
      <c r="H36" s="30">
        <f t="shared" si="9"/>
        <v>4</v>
      </c>
      <c r="I36" s="30">
        <f t="shared" si="10"/>
        <v>3</v>
      </c>
      <c r="J36" s="110" t="s">
        <v>122</v>
      </c>
      <c r="L36" t="s">
        <v>123</v>
      </c>
      <c r="M36" t="s">
        <v>57</v>
      </c>
      <c r="N36" t="s">
        <v>56</v>
      </c>
      <c r="O36" t="s">
        <v>57</v>
      </c>
      <c r="P36" t="s">
        <v>57</v>
      </c>
    </row>
    <row r="37" spans="1:16" hidden="1">
      <c r="A37" s="23" t="str">
        <f t="shared" si="7"/>
        <v>Q1 Shop 1</v>
      </c>
      <c r="B37" s="36" t="str">
        <f t="shared" si="5"/>
        <v>Q1</v>
      </c>
      <c r="C37" s="33">
        <f t="shared" si="6"/>
        <v>1</v>
      </c>
      <c r="D37" t="str">
        <f t="shared" si="1"/>
        <v>Lexus of Lakeway</v>
      </c>
      <c r="E37" t="str">
        <f>IF($J37="","",IFERROR(VLOOKUP($J37,KEY!$D$6:$F$76,3,FALSE),""))</f>
        <v>Texas</v>
      </c>
      <c r="F37" t="str">
        <f>IF($J37="","",IFERROR(VLOOKUP($J37,KEY!$D$6:$F$76,2,FALSE),""))</f>
        <v>Lexus</v>
      </c>
      <c r="G37" t="str">
        <f t="shared" si="8"/>
        <v>Q1 Shop 1_Lexus of Lakeway</v>
      </c>
      <c r="H37" s="30">
        <f t="shared" si="9"/>
        <v>4</v>
      </c>
      <c r="I37" s="30">
        <f t="shared" si="10"/>
        <v>3</v>
      </c>
      <c r="J37" s="110" t="s">
        <v>124</v>
      </c>
      <c r="L37" t="s">
        <v>125</v>
      </c>
      <c r="M37" t="s">
        <v>57</v>
      </c>
      <c r="N37" t="s">
        <v>56</v>
      </c>
      <c r="O37" t="s">
        <v>57</v>
      </c>
      <c r="P37" t="s">
        <v>57</v>
      </c>
    </row>
    <row r="38" spans="1:16" hidden="1">
      <c r="A38" s="23" t="str">
        <f t="shared" si="7"/>
        <v>Q1 Shop 1</v>
      </c>
      <c r="B38" s="36" t="str">
        <f t="shared" si="5"/>
        <v>Q1</v>
      </c>
      <c r="C38" s="33">
        <f t="shared" si="6"/>
        <v>1</v>
      </c>
      <c r="D38" t="str">
        <f t="shared" si="1"/>
        <v>Lexus San Diego</v>
      </c>
      <c r="E38" t="str">
        <f>IF($J38="","",IFERROR(VLOOKUP($J38,KEY!$D$6:$F$76,3,FALSE),""))</f>
        <v>Southern California</v>
      </c>
      <c r="F38" t="str">
        <f>IF($J38="","",IFERROR(VLOOKUP($J38,KEY!$D$6:$F$76,2,FALSE),""))</f>
        <v>Lexus</v>
      </c>
      <c r="G38" t="str">
        <f t="shared" si="8"/>
        <v>Q1 Shop 1_Lexus San Diego</v>
      </c>
      <c r="H38" s="30">
        <f t="shared" si="9"/>
        <v>4</v>
      </c>
      <c r="I38" s="30">
        <f t="shared" si="10"/>
        <v>4</v>
      </c>
      <c r="J38" s="110" t="s">
        <v>126</v>
      </c>
      <c r="L38" t="s">
        <v>127</v>
      </c>
      <c r="M38" t="s">
        <v>57</v>
      </c>
      <c r="N38" t="s">
        <v>57</v>
      </c>
      <c r="O38" t="s">
        <v>57</v>
      </c>
      <c r="P38" t="s">
        <v>57</v>
      </c>
    </row>
    <row r="39" spans="1:16" hidden="1">
      <c r="A39" s="23" t="str">
        <f t="shared" si="7"/>
        <v>Q1 Shop 1</v>
      </c>
      <c r="B39" s="36" t="str">
        <f t="shared" si="5"/>
        <v>Q1</v>
      </c>
      <c r="C39" s="33">
        <f t="shared" si="6"/>
        <v>1</v>
      </c>
      <c r="D39" t="str">
        <f t="shared" si="1"/>
        <v>Lincoln South Coast</v>
      </c>
      <c r="E39" t="str">
        <f>IF($J39="","",IFERROR(VLOOKUP($J39,KEY!$D$6:$F$76,3,FALSE),""))</f>
        <v>Orange County</v>
      </c>
      <c r="F39" t="str">
        <f>IF($J39="","",IFERROR(VLOOKUP($J39,KEY!$D$6:$F$76,2,FALSE),""))</f>
        <v>Lincoln</v>
      </c>
      <c r="G39" t="str">
        <f t="shared" si="8"/>
        <v>Q1 Shop 1_Lincoln South Coast</v>
      </c>
      <c r="H39" s="30">
        <f t="shared" si="9"/>
        <v>4</v>
      </c>
      <c r="I39" s="30">
        <f t="shared" si="10"/>
        <v>4</v>
      </c>
      <c r="J39" s="110" t="s">
        <v>128</v>
      </c>
      <c r="L39" t="s">
        <v>129</v>
      </c>
      <c r="M39" t="s">
        <v>57</v>
      </c>
      <c r="N39" t="s">
        <v>57</v>
      </c>
      <c r="O39" t="s">
        <v>57</v>
      </c>
      <c r="P39" t="s">
        <v>57</v>
      </c>
    </row>
    <row r="40" spans="1:16" hidden="1">
      <c r="A40" s="23" t="str">
        <f t="shared" si="7"/>
        <v>Q1 Shop 1</v>
      </c>
      <c r="B40" s="36" t="str">
        <f t="shared" si="5"/>
        <v>Q1</v>
      </c>
      <c r="C40" s="33">
        <f t="shared" si="6"/>
        <v>1</v>
      </c>
      <c r="D40" t="str">
        <f t="shared" si="1"/>
        <v>Mazda of Escondido</v>
      </c>
      <c r="E40" t="str">
        <f>IF($J40="","",IFERROR(VLOOKUP($J40,KEY!$D$6:$F$76,3,FALSE),""))</f>
        <v>Southern California</v>
      </c>
      <c r="F40" t="str">
        <f>IF($J40="","",IFERROR(VLOOKUP($J40,KEY!$D$6:$F$76,2,FALSE),""))</f>
        <v>Mazda</v>
      </c>
      <c r="G40" t="str">
        <f t="shared" si="8"/>
        <v>Q1 Shop 1_Mazda of Escondido</v>
      </c>
      <c r="H40" s="30">
        <f t="shared" si="9"/>
        <v>4</v>
      </c>
      <c r="I40" s="30">
        <f t="shared" si="10"/>
        <v>3</v>
      </c>
      <c r="J40" s="110" t="s">
        <v>130</v>
      </c>
      <c r="L40" t="s">
        <v>131</v>
      </c>
      <c r="M40" t="s">
        <v>57</v>
      </c>
      <c r="N40" t="s">
        <v>57</v>
      </c>
      <c r="O40" t="s">
        <v>57</v>
      </c>
      <c r="P40" t="s">
        <v>56</v>
      </c>
    </row>
    <row r="41" spans="1:16" hidden="1">
      <c r="A41" s="23" t="str">
        <f t="shared" si="7"/>
        <v>Q1 Shop 1</v>
      </c>
      <c r="B41" s="36" t="str">
        <f t="shared" si="5"/>
        <v>Q1</v>
      </c>
      <c r="C41" s="33">
        <f t="shared" si="6"/>
        <v>1</v>
      </c>
      <c r="D41" t="str">
        <f t="shared" si="1"/>
        <v>Mercedes-Benz of Chandler</v>
      </c>
      <c r="E41" t="str">
        <f>IF($J41="","",IFERROR(VLOOKUP($J41,KEY!$D$6:$F$76,3,FALSE),""))</f>
        <v>Arizona</v>
      </c>
      <c r="F41" t="str">
        <f>IF($J41="","",IFERROR(VLOOKUP($J41,KEY!$D$6:$F$76,2,FALSE),""))</f>
        <v>Mercedes-Benz</v>
      </c>
      <c r="G41" t="str">
        <f t="shared" si="8"/>
        <v>Q1 Shop 1_Mercedes-Benz of Chandler</v>
      </c>
      <c r="H41" s="30">
        <f t="shared" si="9"/>
        <v>4</v>
      </c>
      <c r="I41" s="30">
        <f t="shared" si="10"/>
        <v>4</v>
      </c>
      <c r="J41" s="110" t="s">
        <v>132</v>
      </c>
      <c r="L41" t="s">
        <v>133</v>
      </c>
      <c r="M41" t="s">
        <v>57</v>
      </c>
      <c r="N41" t="s">
        <v>57</v>
      </c>
      <c r="O41" t="s">
        <v>57</v>
      </c>
      <c r="P41" t="s">
        <v>57</v>
      </c>
    </row>
    <row r="42" spans="1:16" hidden="1">
      <c r="A42" s="23" t="str">
        <f t="shared" si="7"/>
        <v>Q1 Shop 1</v>
      </c>
      <c r="B42" s="36" t="str">
        <f t="shared" si="5"/>
        <v>Q1</v>
      </c>
      <c r="C42" s="33">
        <f t="shared" si="6"/>
        <v>1</v>
      </c>
      <c r="D42" t="str">
        <f t="shared" si="1"/>
        <v>Mercedes-Benz of North Scottsdale</v>
      </c>
      <c r="E42" t="str">
        <f>IF($J42="","",IFERROR(VLOOKUP($J42,KEY!$D$6:$F$76,3,FALSE),""))</f>
        <v>Arizona</v>
      </c>
      <c r="F42" t="str">
        <f>IF($J42="","",IFERROR(VLOOKUP($J42,KEY!$D$6:$F$76,2,FALSE),""))</f>
        <v>Mercedes-Benz</v>
      </c>
      <c r="G42" t="str">
        <f t="shared" si="8"/>
        <v>Q1 Shop 1_Mercedes-Benz of North Scottsdale</v>
      </c>
      <c r="H42" s="30">
        <f t="shared" si="9"/>
        <v>4</v>
      </c>
      <c r="I42" s="30">
        <f t="shared" si="10"/>
        <v>4</v>
      </c>
      <c r="J42" s="110" t="s">
        <v>134</v>
      </c>
      <c r="L42" t="s">
        <v>135</v>
      </c>
      <c r="M42" t="s">
        <v>57</v>
      </c>
      <c r="N42" t="s">
        <v>57</v>
      </c>
      <c r="O42" t="s">
        <v>57</v>
      </c>
      <c r="P42" t="s">
        <v>57</v>
      </c>
    </row>
    <row r="43" spans="1:16" hidden="1">
      <c r="A43" s="23" t="str">
        <f t="shared" si="7"/>
        <v>Q1 Shop 1</v>
      </c>
      <c r="B43" s="36" t="str">
        <f t="shared" si="5"/>
        <v>Q1</v>
      </c>
      <c r="C43" s="33">
        <f t="shared" si="6"/>
        <v>1</v>
      </c>
      <c r="D43" t="str">
        <f t="shared" si="1"/>
        <v>Mercedes-Benz of San Diego</v>
      </c>
      <c r="E43" t="str">
        <f>IF($J43="","",IFERROR(VLOOKUP($J43,KEY!$D$6:$F$76,3,FALSE),""))</f>
        <v>Southern California</v>
      </c>
      <c r="F43" t="str">
        <f>IF($J43="","",IFERROR(VLOOKUP($J43,KEY!$D$6:$F$76,2,FALSE),""))</f>
        <v>Mercedes-Benz</v>
      </c>
      <c r="G43" t="str">
        <f t="shared" si="8"/>
        <v>Q1 Shop 1_Mercedes-Benz of San Diego</v>
      </c>
      <c r="H43" s="30">
        <f t="shared" si="9"/>
        <v>4</v>
      </c>
      <c r="I43" s="30">
        <f t="shared" si="10"/>
        <v>3</v>
      </c>
      <c r="J43" s="110" t="s">
        <v>136</v>
      </c>
      <c r="L43" t="s">
        <v>137</v>
      </c>
      <c r="M43" t="s">
        <v>57</v>
      </c>
      <c r="N43" t="s">
        <v>57</v>
      </c>
      <c r="O43" t="s">
        <v>57</v>
      </c>
      <c r="P43" t="s">
        <v>56</v>
      </c>
    </row>
    <row r="44" spans="1:16" hidden="1">
      <c r="A44" s="23" t="str">
        <f t="shared" si="7"/>
        <v>Q1 Shop 1</v>
      </c>
      <c r="B44" s="36" t="str">
        <f t="shared" si="5"/>
        <v>Q1</v>
      </c>
      <c r="C44" s="33">
        <f t="shared" si="6"/>
        <v>1</v>
      </c>
      <c r="D44" t="str">
        <f t="shared" si="1"/>
        <v>MINI North Scottsdale</v>
      </c>
      <c r="E44" t="str">
        <f>IF($J44="","",IFERROR(VLOOKUP($J44,KEY!$D$6:$F$76,3,FALSE),""))</f>
        <v>Arizona</v>
      </c>
      <c r="F44" t="str">
        <f>IF($J44="","",IFERROR(VLOOKUP($J44,KEY!$D$6:$F$76,2,FALSE),""))</f>
        <v>MINI</v>
      </c>
      <c r="G44" t="str">
        <f t="shared" si="8"/>
        <v>Q1 Shop 1_MINI North Scottsdale</v>
      </c>
      <c r="H44" s="30">
        <f t="shared" si="9"/>
        <v>4</v>
      </c>
      <c r="I44" s="30">
        <f t="shared" si="10"/>
        <v>2</v>
      </c>
      <c r="J44" s="110" t="s">
        <v>138</v>
      </c>
      <c r="L44" t="s">
        <v>139</v>
      </c>
      <c r="M44" t="s">
        <v>56</v>
      </c>
      <c r="N44" t="s">
        <v>57</v>
      </c>
      <c r="O44" t="s">
        <v>57</v>
      </c>
      <c r="P44" t="s">
        <v>56</v>
      </c>
    </row>
    <row r="45" spans="1:16" hidden="1">
      <c r="A45" s="23" t="str">
        <f t="shared" si="7"/>
        <v>Q1 Shop 1</v>
      </c>
      <c r="B45" s="36" t="str">
        <f t="shared" si="5"/>
        <v>Q1</v>
      </c>
      <c r="C45" s="33">
        <f t="shared" si="6"/>
        <v>1</v>
      </c>
      <c r="D45" t="str">
        <f t="shared" si="1"/>
        <v>MINI of Austin</v>
      </c>
      <c r="E45" t="str">
        <f>IF($J45="","",IFERROR(VLOOKUP($J45,KEY!$D$6:$F$76,3,FALSE),""))</f>
        <v>Texas</v>
      </c>
      <c r="F45" t="str">
        <f>IF($J45="","",IFERROR(VLOOKUP($J45,KEY!$D$6:$F$76,2,FALSE),""))</f>
        <v>MINI</v>
      </c>
      <c r="G45" t="str">
        <f t="shared" si="8"/>
        <v>Q1 Shop 1_MINI of Austin</v>
      </c>
      <c r="H45" s="30">
        <f t="shared" si="9"/>
        <v>4</v>
      </c>
      <c r="I45" s="30">
        <f t="shared" si="10"/>
        <v>4</v>
      </c>
      <c r="J45" s="110" t="s">
        <v>140</v>
      </c>
      <c r="L45" t="s">
        <v>141</v>
      </c>
      <c r="M45" t="s">
        <v>57</v>
      </c>
      <c r="N45" t="s">
        <v>57</v>
      </c>
      <c r="O45" t="s">
        <v>57</v>
      </c>
      <c r="P45" t="s">
        <v>57</v>
      </c>
    </row>
    <row r="46" spans="1:16" hidden="1">
      <c r="A46" s="23" t="str">
        <f t="shared" si="7"/>
        <v>Q1 Shop 1</v>
      </c>
      <c r="B46" s="36" t="str">
        <f t="shared" si="5"/>
        <v>Q1</v>
      </c>
      <c r="C46" s="33">
        <f t="shared" si="6"/>
        <v>1</v>
      </c>
      <c r="D46" t="str">
        <f t="shared" si="1"/>
        <v>MINI of Marin</v>
      </c>
      <c r="E46" t="str">
        <f>IF($J46="","",IFERROR(VLOOKUP($J46,KEY!$D$6:$F$76,3,FALSE),""))</f>
        <v>Northern California</v>
      </c>
      <c r="F46" t="str">
        <f>IF($J46="","",IFERROR(VLOOKUP($J46,KEY!$D$6:$F$76,2,FALSE),""))</f>
        <v>MINI</v>
      </c>
      <c r="G46" t="str">
        <f t="shared" si="8"/>
        <v>Q1 Shop 1_MINI of Marin</v>
      </c>
      <c r="H46" s="30">
        <f t="shared" si="9"/>
        <v>4</v>
      </c>
      <c r="I46" s="30">
        <f t="shared" si="10"/>
        <v>3</v>
      </c>
      <c r="J46" s="110" t="s">
        <v>142</v>
      </c>
      <c r="L46" t="s">
        <v>143</v>
      </c>
      <c r="M46" t="s">
        <v>57</v>
      </c>
      <c r="N46" t="s">
        <v>56</v>
      </c>
      <c r="O46" t="s">
        <v>57</v>
      </c>
      <c r="P46" t="s">
        <v>57</v>
      </c>
    </row>
    <row r="47" spans="1:16" hidden="1">
      <c r="A47" s="23" t="str">
        <f t="shared" si="7"/>
        <v>Q1 Shop 1</v>
      </c>
      <c r="B47" s="36" t="str">
        <f t="shared" si="5"/>
        <v>Q1</v>
      </c>
      <c r="C47" s="33">
        <f t="shared" si="6"/>
        <v>1</v>
      </c>
      <c r="D47" t="str">
        <f t="shared" si="1"/>
        <v>MINI of Ontario</v>
      </c>
      <c r="E47" t="str">
        <f>IF($J47="","",IFERROR(VLOOKUP($J47,KEY!$D$6:$F$76,3,FALSE),""))</f>
        <v>Orange County</v>
      </c>
      <c r="F47" t="str">
        <f>IF($J47="","",IFERROR(VLOOKUP($J47,KEY!$D$6:$F$76,2,FALSE),""))</f>
        <v>MINI</v>
      </c>
      <c r="G47" t="str">
        <f t="shared" si="8"/>
        <v>Q1 Shop 1_MINI of Ontario</v>
      </c>
      <c r="H47" s="30">
        <f t="shared" si="9"/>
        <v>4</v>
      </c>
      <c r="I47" s="30">
        <f t="shared" si="10"/>
        <v>4</v>
      </c>
      <c r="J47" s="110" t="s">
        <v>144</v>
      </c>
      <c r="L47" t="s">
        <v>145</v>
      </c>
      <c r="M47" t="s">
        <v>57</v>
      </c>
      <c r="N47" t="s">
        <v>57</v>
      </c>
      <c r="O47" t="s">
        <v>57</v>
      </c>
      <c r="P47" t="s">
        <v>57</v>
      </c>
    </row>
    <row r="48" spans="1:16" hidden="1">
      <c r="A48" s="23" t="str">
        <f t="shared" si="7"/>
        <v>Q1 Shop 1</v>
      </c>
      <c r="B48" s="36" t="str">
        <f t="shared" si="5"/>
        <v>Q1</v>
      </c>
      <c r="C48" s="33">
        <f t="shared" si="6"/>
        <v>1</v>
      </c>
      <c r="D48" t="str">
        <f t="shared" si="1"/>
        <v>MINI of San Diego</v>
      </c>
      <c r="E48" t="str">
        <f>IF($J48="","",IFERROR(VLOOKUP($J48,KEY!$D$6:$F$76,3,FALSE),""))</f>
        <v>Southern California</v>
      </c>
      <c r="F48" t="str">
        <f>IF($J48="","",IFERROR(VLOOKUP($J48,KEY!$D$6:$F$76,2,FALSE),""))</f>
        <v>MINI</v>
      </c>
      <c r="G48" t="str">
        <f t="shared" si="8"/>
        <v>Q1 Shop 1_MINI of San Diego</v>
      </c>
      <c r="H48" s="30">
        <f t="shared" si="9"/>
        <v>4</v>
      </c>
      <c r="I48" s="30">
        <f t="shared" si="10"/>
        <v>4</v>
      </c>
      <c r="J48" s="110" t="s">
        <v>146</v>
      </c>
      <c r="L48" t="s">
        <v>147</v>
      </c>
      <c r="M48" t="s">
        <v>57</v>
      </c>
      <c r="N48" t="s">
        <v>57</v>
      </c>
      <c r="O48" t="s">
        <v>57</v>
      </c>
      <c r="P48" t="s">
        <v>57</v>
      </c>
    </row>
    <row r="49" spans="1:16" hidden="1">
      <c r="A49" s="23" t="str">
        <f t="shared" si="7"/>
        <v>Q1 Shop 1</v>
      </c>
      <c r="B49" s="36" t="str">
        <f t="shared" si="5"/>
        <v>Q1</v>
      </c>
      <c r="C49" s="33">
        <f t="shared" si="6"/>
        <v>1</v>
      </c>
      <c r="D49" t="str">
        <f t="shared" si="1"/>
        <v>MINI of Tempe</v>
      </c>
      <c r="E49" t="str">
        <f>IF($J49="","",IFERROR(VLOOKUP($J49,KEY!$D$6:$F$76,3,FALSE),""))</f>
        <v>Arizona</v>
      </c>
      <c r="F49" t="str">
        <f>IF($J49="","",IFERROR(VLOOKUP($J49,KEY!$D$6:$F$76,2,FALSE),""))</f>
        <v>MINI</v>
      </c>
      <c r="G49" t="str">
        <f t="shared" si="8"/>
        <v>Q1 Shop 1_MINI of Tempe</v>
      </c>
      <c r="H49" s="30">
        <f t="shared" si="9"/>
        <v>4</v>
      </c>
      <c r="I49" s="30">
        <f t="shared" si="10"/>
        <v>4</v>
      </c>
      <c r="J49" s="110" t="s">
        <v>148</v>
      </c>
      <c r="L49" t="s">
        <v>149</v>
      </c>
      <c r="M49" t="s">
        <v>57</v>
      </c>
      <c r="N49" t="s">
        <v>57</v>
      </c>
      <c r="O49" t="s">
        <v>57</v>
      </c>
      <c r="P49" t="s">
        <v>57</v>
      </c>
    </row>
    <row r="50" spans="1:16" hidden="1">
      <c r="A50" s="23" t="str">
        <f t="shared" si="7"/>
        <v>Q1 Shop 1</v>
      </c>
      <c r="B50" s="36" t="str">
        <f t="shared" si="5"/>
        <v>Q1</v>
      </c>
      <c r="C50" s="33">
        <f t="shared" si="6"/>
        <v>1</v>
      </c>
      <c r="D50" t="str">
        <f t="shared" si="1"/>
        <v>Motorwerks BMW</v>
      </c>
      <c r="E50" t="str">
        <f>IF($J50="","",IFERROR(VLOOKUP($J50,KEY!$D$6:$F$76,3,FALSE),""))</f>
        <v>Michigan &amp; Minnesota</v>
      </c>
      <c r="F50" t="str">
        <f>IF($J50="","",IFERROR(VLOOKUP($J50,KEY!$D$6:$F$76,2,FALSE),""))</f>
        <v>BMW</v>
      </c>
      <c r="G50" t="str">
        <f t="shared" si="8"/>
        <v>Q1 Shop 1_Motorwerks BMW</v>
      </c>
      <c r="H50" s="30">
        <f t="shared" si="9"/>
        <v>4</v>
      </c>
      <c r="I50" s="30">
        <f t="shared" si="10"/>
        <v>2</v>
      </c>
      <c r="J50" s="110" t="s">
        <v>150</v>
      </c>
      <c r="L50" t="s">
        <v>151</v>
      </c>
      <c r="M50" t="s">
        <v>56</v>
      </c>
      <c r="N50" t="s">
        <v>57</v>
      </c>
      <c r="O50" t="s">
        <v>57</v>
      </c>
      <c r="P50" t="s">
        <v>56</v>
      </c>
    </row>
    <row r="51" spans="1:16" hidden="1">
      <c r="A51" s="23" t="str">
        <f t="shared" si="7"/>
        <v>Q1 Shop 1</v>
      </c>
      <c r="B51" s="36" t="str">
        <f t="shared" si="5"/>
        <v>Q1</v>
      </c>
      <c r="C51" s="33">
        <f t="shared" si="6"/>
        <v>1</v>
      </c>
      <c r="D51" t="str">
        <f t="shared" si="1"/>
        <v>Motorwerks MINI</v>
      </c>
      <c r="E51" t="str">
        <f>IF($J51="","",IFERROR(VLOOKUP($J51,KEY!$D$6:$F$76,3,FALSE),""))</f>
        <v>Michigan &amp; Minnesota</v>
      </c>
      <c r="F51" t="str">
        <f>IF($J51="","",IFERROR(VLOOKUP($J51,KEY!$D$6:$F$76,2,FALSE),""))</f>
        <v>MINI</v>
      </c>
      <c r="G51" t="str">
        <f t="shared" si="8"/>
        <v>Q1 Shop 1_Motorwerks MINI</v>
      </c>
      <c r="H51" s="30">
        <f t="shared" si="9"/>
        <v>4</v>
      </c>
      <c r="I51" s="30">
        <f t="shared" si="10"/>
        <v>2</v>
      </c>
      <c r="J51" s="110" t="s">
        <v>152</v>
      </c>
      <c r="L51" t="s">
        <v>153</v>
      </c>
      <c r="M51" t="s">
        <v>56</v>
      </c>
      <c r="N51" t="s">
        <v>57</v>
      </c>
      <c r="O51" t="s">
        <v>57</v>
      </c>
      <c r="P51" t="s">
        <v>56</v>
      </c>
    </row>
    <row r="52" spans="1:16" hidden="1">
      <c r="A52" s="23" t="str">
        <f t="shared" si="7"/>
        <v>Q1 Shop 1</v>
      </c>
      <c r="B52" s="36" t="str">
        <f t="shared" si="5"/>
        <v>Q1</v>
      </c>
      <c r="C52" s="33">
        <f t="shared" si="6"/>
        <v>1</v>
      </c>
      <c r="D52" t="str">
        <f t="shared" si="1"/>
        <v>Penske Chevrolet</v>
      </c>
      <c r="E52" t="str">
        <f>IF($J52="","",IFERROR(VLOOKUP($J52,KEY!$D$6:$F$76,3,FALSE),""))</f>
        <v>Indiana</v>
      </c>
      <c r="F52" t="str">
        <f>IF($J52="","",IFERROR(VLOOKUP($J52,KEY!$D$6:$F$76,2,FALSE),""))</f>
        <v>Chevrolet</v>
      </c>
      <c r="G52" t="str">
        <f t="shared" si="8"/>
        <v>Q1 Shop 1_Penske Chevrolet</v>
      </c>
      <c r="H52" s="30">
        <f t="shared" si="9"/>
        <v>4</v>
      </c>
      <c r="I52" s="30">
        <f t="shared" si="10"/>
        <v>1</v>
      </c>
      <c r="J52" s="110" t="s">
        <v>154</v>
      </c>
      <c r="L52" t="s">
        <v>155</v>
      </c>
      <c r="M52" t="s">
        <v>56</v>
      </c>
      <c r="N52" t="s">
        <v>56</v>
      </c>
      <c r="O52" t="s">
        <v>57</v>
      </c>
      <c r="P52" t="s">
        <v>56</v>
      </c>
    </row>
    <row r="53" spans="1:16" hidden="1">
      <c r="A53" s="23" t="str">
        <f t="shared" si="7"/>
        <v>Q1 Shop 1</v>
      </c>
      <c r="B53" s="36" t="str">
        <f t="shared" si="5"/>
        <v>Q1</v>
      </c>
      <c r="C53" s="33">
        <f t="shared" si="6"/>
        <v>1</v>
      </c>
      <c r="D53" t="str">
        <f t="shared" si="1"/>
        <v>Penske Honda</v>
      </c>
      <c r="E53" t="str">
        <f>IF($J53="","",IFERROR(VLOOKUP($J53,KEY!$D$6:$F$76,3,FALSE),""))</f>
        <v>Indiana</v>
      </c>
      <c r="F53" t="str">
        <f>IF($J53="","",IFERROR(VLOOKUP($J53,KEY!$D$6:$F$76,2,FALSE),""))</f>
        <v>Honda</v>
      </c>
      <c r="G53" t="str">
        <f t="shared" si="8"/>
        <v>Q1 Shop 1_Penske Honda</v>
      </c>
      <c r="H53" s="30">
        <f t="shared" si="9"/>
        <v>4</v>
      </c>
      <c r="I53" s="30">
        <f t="shared" si="10"/>
        <v>1</v>
      </c>
      <c r="J53" s="110" t="s">
        <v>156</v>
      </c>
      <c r="L53" t="s">
        <v>157</v>
      </c>
      <c r="M53" t="s">
        <v>56</v>
      </c>
      <c r="N53" t="s">
        <v>56</v>
      </c>
      <c r="O53" t="s">
        <v>57</v>
      </c>
      <c r="P53" t="s">
        <v>56</v>
      </c>
    </row>
    <row r="54" spans="1:16" hidden="1">
      <c r="A54" s="23" t="str">
        <f t="shared" si="7"/>
        <v>Q1 Shop 1</v>
      </c>
      <c r="B54" s="36" t="str">
        <f t="shared" si="5"/>
        <v>Q1</v>
      </c>
      <c r="C54" s="33">
        <f t="shared" si="6"/>
        <v>1</v>
      </c>
      <c r="D54" t="str">
        <f t="shared" si="1"/>
        <v>Peter Pan BMW</v>
      </c>
      <c r="E54" t="str">
        <f>IF($J54="","",IFERROR(VLOOKUP($J54,KEY!$D$6:$F$76,3,FALSE),""))</f>
        <v>Northern California</v>
      </c>
      <c r="F54" t="str">
        <f>IF($J54="","",IFERROR(VLOOKUP($J54,KEY!$D$6:$F$76,2,FALSE),""))</f>
        <v>BMW</v>
      </c>
      <c r="G54" t="str">
        <f t="shared" si="8"/>
        <v>Q1 Shop 1_Peter Pan BMW</v>
      </c>
      <c r="H54" s="30">
        <f t="shared" si="9"/>
        <v>4</v>
      </c>
      <c r="I54" s="30">
        <f t="shared" si="10"/>
        <v>3</v>
      </c>
      <c r="J54" s="110" t="s">
        <v>158</v>
      </c>
      <c r="L54" t="s">
        <v>159</v>
      </c>
      <c r="M54" t="s">
        <v>57</v>
      </c>
      <c r="N54" t="s">
        <v>56</v>
      </c>
      <c r="O54" t="s">
        <v>57</v>
      </c>
      <c r="P54" t="s">
        <v>57</v>
      </c>
    </row>
    <row r="55" spans="1:16" hidden="1">
      <c r="A55" s="23" t="str">
        <f t="shared" si="7"/>
        <v>Q1 Shop 1</v>
      </c>
      <c r="B55" s="36" t="str">
        <f t="shared" si="5"/>
        <v>Q1</v>
      </c>
      <c r="C55" s="33">
        <f t="shared" si="6"/>
        <v>1</v>
      </c>
      <c r="D55" t="str">
        <f t="shared" si="1"/>
        <v>Porsche North Scottsdale</v>
      </c>
      <c r="E55" t="str">
        <f>IF($J55="","",IFERROR(VLOOKUP($J55,KEY!$D$6:$F$76,3,FALSE),""))</f>
        <v>Arizona</v>
      </c>
      <c r="F55" t="str">
        <f>IF($J55="","",IFERROR(VLOOKUP($J55,KEY!$D$6:$F$76,2,FALSE),""))</f>
        <v>Porsche</v>
      </c>
      <c r="G55" t="str">
        <f t="shared" si="8"/>
        <v>Q1 Shop 1_Porsche North Scottsdale</v>
      </c>
      <c r="H55" s="30">
        <f t="shared" si="9"/>
        <v>4</v>
      </c>
      <c r="I55" s="30">
        <f t="shared" si="10"/>
        <v>3</v>
      </c>
      <c r="J55" s="110" t="s">
        <v>160</v>
      </c>
      <c r="L55" t="s">
        <v>161</v>
      </c>
      <c r="M55" t="s">
        <v>56</v>
      </c>
      <c r="N55" t="s">
        <v>57</v>
      </c>
      <c r="O55" t="s">
        <v>57</v>
      </c>
      <c r="P55" t="s">
        <v>57</v>
      </c>
    </row>
    <row r="56" spans="1:16" hidden="1">
      <c r="A56" s="23" t="str">
        <f t="shared" si="7"/>
        <v>Q1 Shop 1</v>
      </c>
      <c r="B56" s="36" t="str">
        <f t="shared" si="5"/>
        <v>Q1</v>
      </c>
      <c r="C56" s="33">
        <f t="shared" si="6"/>
        <v>1</v>
      </c>
      <c r="D56" t="str">
        <f t="shared" si="1"/>
        <v>Porsche Stevens Creek</v>
      </c>
      <c r="E56" t="str">
        <f>IF($J56="","",IFERROR(VLOOKUP($J56,KEY!$D$6:$F$76,3,FALSE),""))</f>
        <v>Northern California</v>
      </c>
      <c r="F56" t="str">
        <f>IF($J56="","",IFERROR(VLOOKUP($J56,KEY!$D$6:$F$76,2,FALSE),""))</f>
        <v>Porsche</v>
      </c>
      <c r="G56" t="str">
        <f t="shared" si="8"/>
        <v>Q1 Shop 1_Porsche Stevens Creek</v>
      </c>
      <c r="H56" s="30">
        <f t="shared" si="9"/>
        <v>4</v>
      </c>
      <c r="I56" s="30">
        <f t="shared" si="10"/>
        <v>3</v>
      </c>
      <c r="J56" s="6" t="s">
        <v>162</v>
      </c>
      <c r="L56" t="s">
        <v>163</v>
      </c>
      <c r="M56" t="s">
        <v>56</v>
      </c>
      <c r="N56" t="s">
        <v>57</v>
      </c>
      <c r="O56" t="s">
        <v>57</v>
      </c>
      <c r="P56" t="s">
        <v>57</v>
      </c>
    </row>
    <row r="57" spans="1:16" hidden="1">
      <c r="A57" s="23" t="str">
        <f t="shared" si="7"/>
        <v>Q1 Shop 1</v>
      </c>
      <c r="B57" s="36" t="str">
        <f t="shared" si="5"/>
        <v>Q1</v>
      </c>
      <c r="C57" s="33">
        <f t="shared" si="6"/>
        <v>1</v>
      </c>
      <c r="D57" t="str">
        <f t="shared" si="1"/>
        <v>Round Rock Honda</v>
      </c>
      <c r="E57" t="str">
        <f>IF($J57="","",IFERROR(VLOOKUP($J57,KEY!$D$6:$F$76,3,FALSE),""))</f>
        <v>Texas</v>
      </c>
      <c r="F57" t="str">
        <f>IF($J57="","",IFERROR(VLOOKUP($J57,KEY!$D$6:$F$76,2,FALSE),""))</f>
        <v>Honda</v>
      </c>
      <c r="G57" t="str">
        <f t="shared" si="8"/>
        <v>Q1 Shop 1_Round Rock Honda</v>
      </c>
      <c r="H57" s="30">
        <f t="shared" si="9"/>
        <v>4</v>
      </c>
      <c r="I57" s="30">
        <f t="shared" si="10"/>
        <v>4</v>
      </c>
      <c r="J57" s="110" t="s">
        <v>164</v>
      </c>
      <c r="L57" t="s">
        <v>165</v>
      </c>
      <c r="M57" t="s">
        <v>57</v>
      </c>
      <c r="N57" t="s">
        <v>57</v>
      </c>
      <c r="O57" t="s">
        <v>57</v>
      </c>
      <c r="P57" t="s">
        <v>57</v>
      </c>
    </row>
    <row r="58" spans="1:16" hidden="1">
      <c r="A58" s="23" t="str">
        <f t="shared" si="7"/>
        <v>Q1 Shop 1</v>
      </c>
      <c r="B58" s="36" t="str">
        <f t="shared" si="5"/>
        <v>Q1</v>
      </c>
      <c r="C58" s="33">
        <f t="shared" si="6"/>
        <v>1</v>
      </c>
      <c r="D58" t="str">
        <f t="shared" si="1"/>
        <v>Round Rock Hyundai</v>
      </c>
      <c r="E58" t="str">
        <f>IF($J58="","",IFERROR(VLOOKUP($J58,KEY!$D$6:$F$76,3,FALSE),""))</f>
        <v>Texas</v>
      </c>
      <c r="F58" t="str">
        <f>IF($J58="","",IFERROR(VLOOKUP($J58,KEY!$D$6:$F$76,2,FALSE),""))</f>
        <v>Hyundai</v>
      </c>
      <c r="G58" t="str">
        <f t="shared" si="8"/>
        <v>Q1 Shop 1_Round Rock Hyundai</v>
      </c>
      <c r="H58" s="30">
        <f t="shared" si="9"/>
        <v>4</v>
      </c>
      <c r="I58" s="30">
        <f t="shared" si="10"/>
        <v>4</v>
      </c>
      <c r="J58" s="110" t="s">
        <v>166</v>
      </c>
      <c r="L58" t="s">
        <v>167</v>
      </c>
      <c r="M58" t="s">
        <v>57</v>
      </c>
      <c r="N58" t="s">
        <v>57</v>
      </c>
      <c r="O58" t="s">
        <v>57</v>
      </c>
      <c r="P58" t="s">
        <v>57</v>
      </c>
    </row>
    <row r="59" spans="1:16" hidden="1">
      <c r="A59" s="23" t="str">
        <f t="shared" si="7"/>
        <v>Q1 Shop 1</v>
      </c>
      <c r="B59" s="36" t="str">
        <f t="shared" si="5"/>
        <v>Q1</v>
      </c>
      <c r="C59" s="33">
        <f t="shared" si="6"/>
        <v>1</v>
      </c>
      <c r="D59" t="str">
        <f t="shared" si="1"/>
        <v>Round Rock Toyota</v>
      </c>
      <c r="E59" t="str">
        <f>IF($J59="","",IFERROR(VLOOKUP($J59,KEY!$D$6:$F$76,3,FALSE),""))</f>
        <v>Texas</v>
      </c>
      <c r="F59" t="str">
        <f>IF($J59="","",IFERROR(VLOOKUP($J59,KEY!$D$6:$F$76,2,FALSE),""))</f>
        <v>Toyota</v>
      </c>
      <c r="G59" t="str">
        <f t="shared" si="8"/>
        <v>Q1 Shop 1_Round Rock Toyota</v>
      </c>
      <c r="H59" s="30">
        <f t="shared" si="9"/>
        <v>4</v>
      </c>
      <c r="I59" s="30">
        <f t="shared" si="10"/>
        <v>4</v>
      </c>
      <c r="J59" s="110" t="s">
        <v>168</v>
      </c>
      <c r="L59" t="s">
        <v>169</v>
      </c>
      <c r="M59" t="s">
        <v>57</v>
      </c>
      <c r="N59" t="s">
        <v>57</v>
      </c>
      <c r="O59" t="s">
        <v>57</v>
      </c>
      <c r="P59" t="s">
        <v>57</v>
      </c>
    </row>
    <row r="60" spans="1:16" hidden="1">
      <c r="A60" s="23" t="str">
        <f t="shared" si="7"/>
        <v>Q1 Shop 1</v>
      </c>
      <c r="B60" s="36" t="str">
        <f t="shared" si="5"/>
        <v>Q1</v>
      </c>
      <c r="C60" s="33">
        <f t="shared" si="6"/>
        <v>1</v>
      </c>
      <c r="D60" t="str">
        <f t="shared" si="1"/>
        <v>Scottsdale Ferrari Maserati</v>
      </c>
      <c r="E60" t="str">
        <f>IF($J60="","",IFERROR(VLOOKUP($J60,KEY!$D$6:$F$76,3,FALSE),""))</f>
        <v>Arizona</v>
      </c>
      <c r="F60" t="str">
        <f>IF($J60="","",IFERROR(VLOOKUP($J60,KEY!$D$6:$F$76,2,FALSE),""))</f>
        <v>Ultra</v>
      </c>
      <c r="G60" t="str">
        <f t="shared" si="8"/>
        <v>Q1 Shop 1_Scottsdale Ferrari Maserati</v>
      </c>
      <c r="H60" s="30">
        <f t="shared" si="9"/>
        <v>4</v>
      </c>
      <c r="I60" s="30">
        <f t="shared" si="10"/>
        <v>2</v>
      </c>
      <c r="J60" s="110" t="s">
        <v>170</v>
      </c>
      <c r="L60" t="s">
        <v>171</v>
      </c>
      <c r="M60" t="s">
        <v>57</v>
      </c>
      <c r="N60" t="s">
        <v>56</v>
      </c>
      <c r="O60" t="s">
        <v>56</v>
      </c>
      <c r="P60" t="s">
        <v>57</v>
      </c>
    </row>
    <row r="61" spans="1:16" hidden="1">
      <c r="A61" s="23" t="str">
        <f t="shared" si="7"/>
        <v>Q1 Shop 1</v>
      </c>
      <c r="B61" s="36" t="str">
        <f t="shared" si="5"/>
        <v>Q1</v>
      </c>
      <c r="C61" s="33">
        <f t="shared" si="6"/>
        <v>1</v>
      </c>
      <c r="D61" t="str">
        <f t="shared" si="1"/>
        <v>Subaru Orange Coast</v>
      </c>
      <c r="E61" t="str">
        <f>IF($J61="","",IFERROR(VLOOKUP($J61,KEY!$D$6:$F$76,3,FALSE),""))</f>
        <v>Orange County</v>
      </c>
      <c r="F61" t="str">
        <f>IF($J61="","",IFERROR(VLOOKUP($J61,KEY!$D$6:$F$76,2,FALSE),""))</f>
        <v>Subaru</v>
      </c>
      <c r="G61" t="str">
        <f t="shared" si="8"/>
        <v>Q1 Shop 1_Subaru Orange Coast</v>
      </c>
      <c r="H61" s="30">
        <f t="shared" si="9"/>
        <v>4</v>
      </c>
      <c r="I61" s="30">
        <f t="shared" si="10"/>
        <v>3</v>
      </c>
      <c r="J61" s="110" t="s">
        <v>172</v>
      </c>
      <c r="L61" t="s">
        <v>173</v>
      </c>
      <c r="M61" t="s">
        <v>57</v>
      </c>
      <c r="N61" t="s">
        <v>56</v>
      </c>
      <c r="O61" t="s">
        <v>57</v>
      </c>
      <c r="P61" t="s">
        <v>57</v>
      </c>
    </row>
    <row r="62" spans="1:16" hidden="1">
      <c r="A62" s="23" t="str">
        <f t="shared" si="7"/>
        <v>Q1 Shop 1</v>
      </c>
      <c r="B62" s="36" t="str">
        <f t="shared" si="5"/>
        <v>Q1</v>
      </c>
      <c r="C62" s="33">
        <f t="shared" si="6"/>
        <v>1</v>
      </c>
      <c r="D62" t="str">
        <f t="shared" si="1"/>
        <v>Tempe Honda</v>
      </c>
      <c r="E62" t="str">
        <f>IF($J62="","",IFERROR(VLOOKUP($J62,KEY!$D$6:$F$76,3,FALSE),""))</f>
        <v>Arizona</v>
      </c>
      <c r="F62" t="str">
        <f>IF($J62="","",IFERROR(VLOOKUP($J62,KEY!$D$6:$F$76,2,FALSE),""))</f>
        <v>Honda</v>
      </c>
      <c r="G62" t="str">
        <f t="shared" si="8"/>
        <v>Q1 Shop 1_Tempe Honda</v>
      </c>
      <c r="H62" s="30">
        <f t="shared" si="9"/>
        <v>4</v>
      </c>
      <c r="I62" s="30">
        <f t="shared" si="10"/>
        <v>4</v>
      </c>
      <c r="J62" s="110" t="s">
        <v>174</v>
      </c>
      <c r="L62" t="s">
        <v>175</v>
      </c>
      <c r="M62" t="s">
        <v>57</v>
      </c>
      <c r="N62" t="s">
        <v>57</v>
      </c>
      <c r="O62" t="s">
        <v>57</v>
      </c>
      <c r="P62" t="s">
        <v>57</v>
      </c>
    </row>
    <row r="63" spans="1:16" hidden="1">
      <c r="A63" s="23" t="str">
        <f t="shared" si="7"/>
        <v>Q1 Shop 1</v>
      </c>
      <c r="B63" s="36" t="str">
        <f t="shared" si="5"/>
        <v>Q1</v>
      </c>
      <c r="C63" s="33">
        <f t="shared" si="6"/>
        <v>1</v>
      </c>
      <c r="D63" t="str">
        <f t="shared" si="1"/>
        <v>Toyota of Clovis</v>
      </c>
      <c r="E63" t="str">
        <f>IF($J63="","",IFERROR(VLOOKUP($J63,KEY!$D$6:$F$76,3,FALSE),""))</f>
        <v>Northern California</v>
      </c>
      <c r="F63" t="str">
        <f>IF($J63="","",IFERROR(VLOOKUP($J63,KEY!$D$6:$F$76,2,FALSE),""))</f>
        <v>Toyota</v>
      </c>
      <c r="G63" t="str">
        <f t="shared" si="8"/>
        <v>Q1 Shop 1_Toyota of Clovis</v>
      </c>
      <c r="H63" s="30">
        <f t="shared" si="9"/>
        <v>4</v>
      </c>
      <c r="I63" s="30">
        <f t="shared" si="10"/>
        <v>3</v>
      </c>
      <c r="J63" s="6" t="s">
        <v>176</v>
      </c>
      <c r="L63" t="s">
        <v>177</v>
      </c>
      <c r="M63" t="s">
        <v>56</v>
      </c>
      <c r="N63" t="s">
        <v>57</v>
      </c>
      <c r="O63" t="s">
        <v>57</v>
      </c>
      <c r="P63" t="s">
        <v>57</v>
      </c>
    </row>
    <row r="64" spans="1:16" hidden="1">
      <c r="A64" s="23" t="str">
        <f t="shared" si="7"/>
        <v>Q1 Shop 1</v>
      </c>
      <c r="B64" s="36" t="str">
        <f t="shared" si="5"/>
        <v>Q1</v>
      </c>
      <c r="C64" s="33">
        <f t="shared" si="6"/>
        <v>1</v>
      </c>
      <c r="D64" t="str">
        <f t="shared" si="1"/>
        <v>Toyota of Surprise</v>
      </c>
      <c r="E64" t="str">
        <f>IF($J64="","",IFERROR(VLOOKUP($J64,KEY!$D$6:$F$76,3,FALSE),""))</f>
        <v>Arizona</v>
      </c>
      <c r="F64" t="str">
        <f>IF($J64="","",IFERROR(VLOOKUP($J64,KEY!$D$6:$F$76,2,FALSE),""))</f>
        <v>Toyota</v>
      </c>
      <c r="G64" t="str">
        <f t="shared" si="8"/>
        <v>Q1 Shop 1_Toyota of Surprise</v>
      </c>
      <c r="H64" s="30">
        <f t="shared" si="9"/>
        <v>4</v>
      </c>
      <c r="I64" s="30">
        <f t="shared" si="10"/>
        <v>3</v>
      </c>
      <c r="J64" s="110" t="s">
        <v>178</v>
      </c>
      <c r="L64" t="s">
        <v>179</v>
      </c>
      <c r="M64" t="s">
        <v>57</v>
      </c>
      <c r="N64" t="s">
        <v>56</v>
      </c>
      <c r="O64" t="s">
        <v>57</v>
      </c>
      <c r="P64" t="s">
        <v>57</v>
      </c>
    </row>
    <row r="65" spans="1:22" hidden="1">
      <c r="A65" s="23" t="str">
        <f t="shared" si="7"/>
        <v>Q1 Shop 1</v>
      </c>
      <c r="B65" s="36" t="str">
        <f t="shared" si="5"/>
        <v>Q1</v>
      </c>
      <c r="C65" s="33">
        <f t="shared" si="6"/>
        <v>1</v>
      </c>
      <c r="D65" t="str">
        <f t="shared" si="1"/>
        <v>Volkswagen North Scottsdale</v>
      </c>
      <c r="E65" t="str">
        <f>IF($J65="","",IFERROR(VLOOKUP($J65,KEY!$D$6:$F$76,3,FALSE),""))</f>
        <v>Arizona</v>
      </c>
      <c r="F65" t="str">
        <f>IF($J65="","",IFERROR(VLOOKUP($J65,KEY!$D$6:$F$76,2,FALSE),""))</f>
        <v>Volkswagen</v>
      </c>
      <c r="G65" t="str">
        <f t="shared" si="8"/>
        <v>Q1 Shop 1_Volkswagen North Scottsdale</v>
      </c>
      <c r="H65" s="30">
        <f t="shared" si="9"/>
        <v>4</v>
      </c>
      <c r="I65" s="30">
        <f t="shared" si="10"/>
        <v>4</v>
      </c>
      <c r="J65" s="110" t="s">
        <v>180</v>
      </c>
      <c r="L65" t="s">
        <v>181</v>
      </c>
      <c r="M65" t="s">
        <v>57</v>
      </c>
      <c r="N65" t="s">
        <v>57</v>
      </c>
      <c r="O65" t="s">
        <v>57</v>
      </c>
      <c r="P65" t="s">
        <v>57</v>
      </c>
    </row>
    <row r="66" spans="1:22" hidden="1">
      <c r="A66" s="23" t="str">
        <f t="shared" si="7"/>
        <v>Q1 Shop 1</v>
      </c>
      <c r="B66" s="36" t="str">
        <f t="shared" si="5"/>
        <v>Q1</v>
      </c>
      <c r="C66" s="33">
        <f t="shared" si="6"/>
        <v>1</v>
      </c>
      <c r="D66" t="str">
        <f t="shared" si="1"/>
        <v>Volkswagen South Coast</v>
      </c>
      <c r="E66" t="str">
        <f>IF($J66="","",IFERROR(VLOOKUP($J66,KEY!$D$6:$F$76,3,FALSE),""))</f>
        <v>Orange County</v>
      </c>
      <c r="F66" t="str">
        <f>IF($J66="","",IFERROR(VLOOKUP($J66,KEY!$D$6:$F$76,2,FALSE),""))</f>
        <v>Volkswagen</v>
      </c>
      <c r="G66" t="str">
        <f t="shared" si="8"/>
        <v>Q1 Shop 1_Volkswagen South Coast</v>
      </c>
      <c r="H66" s="30">
        <f t="shared" si="9"/>
        <v>4</v>
      </c>
      <c r="I66" s="30">
        <f t="shared" si="10"/>
        <v>4</v>
      </c>
      <c r="J66" s="110" t="s">
        <v>182</v>
      </c>
      <c r="L66" t="s">
        <v>183</v>
      </c>
      <c r="M66" t="s">
        <v>57</v>
      </c>
      <c r="N66" t="s">
        <v>57</v>
      </c>
      <c r="O66" t="s">
        <v>57</v>
      </c>
      <c r="P66" t="s">
        <v>57</v>
      </c>
    </row>
    <row r="67" spans="1:22" hidden="1">
      <c r="A67" s="23" t="str">
        <f t="shared" si="7"/>
        <v>Q1 Shop 1</v>
      </c>
      <c r="B67" s="36" t="str">
        <f t="shared" si="5"/>
        <v>Q1</v>
      </c>
      <c r="C67" s="33">
        <f t="shared" si="6"/>
        <v>1</v>
      </c>
      <c r="D67" t="str">
        <f t="shared" ref="D67:D72" si="11">IF($J67="","",$J67)</f>
        <v/>
      </c>
      <c r="E67" t="str">
        <f>IF($J67="","",IFERROR(VLOOKUP($J67,KEY!$D$6:$F$76,3,FALSE),""))</f>
        <v/>
      </c>
      <c r="F67" t="str">
        <f>IF($J67="","",IFERROR(VLOOKUP($J67,KEY!$D$6:$F$76,2,FALSE),""))</f>
        <v/>
      </c>
      <c r="G67" t="str">
        <f t="shared" si="8"/>
        <v/>
      </c>
      <c r="H67" s="30" t="str">
        <f t="shared" ref="H67:H72" si="12">IF($J67="","",COUNTIF($M67:$V67,"*"))</f>
        <v/>
      </c>
      <c r="I67" s="30" t="str">
        <f t="shared" ref="I67:I72" si="13">IF($J67="","",COUNTIF($M67:$V67,"YES*"))</f>
        <v/>
      </c>
      <c r="J67" s="110"/>
    </row>
    <row r="68" spans="1:22" hidden="1">
      <c r="A68" s="23" t="str">
        <f t="shared" si="7"/>
        <v>Q1 Shop 1</v>
      </c>
      <c r="B68" s="36" t="str">
        <f t="shared" si="5"/>
        <v>Q1</v>
      </c>
      <c r="C68" s="33">
        <f t="shared" si="6"/>
        <v>1</v>
      </c>
      <c r="D68" t="str">
        <f t="shared" si="11"/>
        <v/>
      </c>
      <c r="E68" t="str">
        <f>IF($J68="","",IFERROR(VLOOKUP($J68,KEY!$D$6:$F$76,3,FALSE),""))</f>
        <v/>
      </c>
      <c r="F68" t="str">
        <f>IF($J68="","",IFERROR(VLOOKUP($J68,KEY!$D$6:$F$76,2,FALSE),""))</f>
        <v/>
      </c>
      <c r="G68" t="str">
        <f t="shared" si="8"/>
        <v/>
      </c>
      <c r="H68" s="30" t="str">
        <f t="shared" si="12"/>
        <v/>
      </c>
      <c r="I68" s="30" t="str">
        <f t="shared" si="13"/>
        <v/>
      </c>
      <c r="J68" s="110"/>
    </row>
    <row r="69" spans="1:22" hidden="1">
      <c r="A69" s="23" t="str">
        <f t="shared" si="7"/>
        <v>Q1 Shop 1</v>
      </c>
      <c r="B69" s="36" t="str">
        <f t="shared" ref="B69:C72" si="14">B68</f>
        <v>Q1</v>
      </c>
      <c r="C69" s="33">
        <f t="shared" si="14"/>
        <v>1</v>
      </c>
      <c r="D69" t="str">
        <f t="shared" si="11"/>
        <v/>
      </c>
      <c r="E69" t="str">
        <f>IF($J69="","",IFERROR(VLOOKUP($J69,KEY!$D$6:$F$76,3,FALSE),""))</f>
        <v/>
      </c>
      <c r="F69" t="str">
        <f>IF($J69="","",IFERROR(VLOOKUP($J69,KEY!$D$6:$F$76,2,FALSE),""))</f>
        <v/>
      </c>
      <c r="G69" t="str">
        <f t="shared" si="8"/>
        <v/>
      </c>
      <c r="H69" s="30" t="str">
        <f t="shared" si="12"/>
        <v/>
      </c>
      <c r="I69" s="30" t="str">
        <f t="shared" si="13"/>
        <v/>
      </c>
      <c r="J69" s="110"/>
    </row>
    <row r="70" spans="1:22" hidden="1">
      <c r="A70" s="23" t="str">
        <f t="shared" ref="A70:A72" si="15">B70&amp;" Shop "&amp;C70</f>
        <v>Q1 Shop 1</v>
      </c>
      <c r="B70" s="36" t="str">
        <f t="shared" si="14"/>
        <v>Q1</v>
      </c>
      <c r="C70" s="33">
        <f t="shared" si="14"/>
        <v>1</v>
      </c>
      <c r="D70" t="str">
        <f t="shared" si="11"/>
        <v/>
      </c>
      <c r="E70" t="str">
        <f>IF($J70="","",IFERROR(VLOOKUP($J70,KEY!$D$6:$F$76,3,FALSE),""))</f>
        <v/>
      </c>
      <c r="F70" t="str">
        <f>IF($J70="","",IFERROR(VLOOKUP($J70,KEY!$D$6:$F$76,2,FALSE),""))</f>
        <v/>
      </c>
      <c r="G70" t="str">
        <f t="shared" ref="G70:G72" si="16">IF($J70="","",A70&amp;"_"&amp;D70)</f>
        <v/>
      </c>
      <c r="H70" s="30" t="str">
        <f t="shared" si="12"/>
        <v/>
      </c>
      <c r="I70" s="30" t="str">
        <f t="shared" si="13"/>
        <v/>
      </c>
      <c r="J70" s="110"/>
    </row>
    <row r="71" spans="1:22" hidden="1">
      <c r="A71" s="23" t="str">
        <f t="shared" si="15"/>
        <v>Q1 Shop 1</v>
      </c>
      <c r="B71" s="36" t="str">
        <f t="shared" si="14"/>
        <v>Q1</v>
      </c>
      <c r="C71" s="33">
        <f t="shared" si="14"/>
        <v>1</v>
      </c>
      <c r="D71" t="str">
        <f t="shared" si="11"/>
        <v/>
      </c>
      <c r="E71" t="str">
        <f>IF($J71="","",IFERROR(VLOOKUP($J71,KEY!$D$6:$F$76,3,FALSE),""))</f>
        <v/>
      </c>
      <c r="F71" t="str">
        <f>IF($J71="","",IFERROR(VLOOKUP($J71,KEY!$D$6:$F$76,2,FALSE),""))</f>
        <v/>
      </c>
      <c r="G71" t="str">
        <f t="shared" si="16"/>
        <v/>
      </c>
      <c r="H71" s="30" t="str">
        <f t="shared" si="12"/>
        <v/>
      </c>
      <c r="I71" s="30" t="str">
        <f t="shared" si="13"/>
        <v/>
      </c>
      <c r="J71" s="110"/>
    </row>
    <row r="72" spans="1:22" hidden="1">
      <c r="A72" s="23" t="str">
        <f t="shared" si="15"/>
        <v>Q1 Shop 1</v>
      </c>
      <c r="B72" s="36" t="str">
        <f t="shared" si="14"/>
        <v>Q1</v>
      </c>
      <c r="C72" s="33">
        <f t="shared" si="14"/>
        <v>1</v>
      </c>
      <c r="D72" t="str">
        <f t="shared" si="11"/>
        <v/>
      </c>
      <c r="E72" t="str">
        <f>IF($J72="","",IFERROR(VLOOKUP($J72,KEY!$D$6:$F$76,3,FALSE),""))</f>
        <v/>
      </c>
      <c r="F72" t="str">
        <f>IF($J72="","",IFERROR(VLOOKUP($J72,KEY!$D$6:$F$76,2,FALSE),""))</f>
        <v/>
      </c>
      <c r="G72" t="str">
        <f t="shared" si="16"/>
        <v/>
      </c>
      <c r="H72" s="30" t="str">
        <f t="shared" si="12"/>
        <v/>
      </c>
      <c r="I72" s="30" t="str">
        <f t="shared" si="13"/>
        <v/>
      </c>
      <c r="J72" s="110"/>
    </row>
    <row r="73" spans="1:22" ht="8.1" hidden="1" customHeight="1">
      <c r="A73" s="32"/>
      <c r="B73" s="37"/>
      <c r="C73" s="38"/>
      <c r="D73" s="32"/>
      <c r="E73" s="32"/>
      <c r="F73" s="32"/>
      <c r="G73" s="32" t="str">
        <f>A73&amp;"_"&amp;D73</f>
        <v>_</v>
      </c>
      <c r="H73" s="32"/>
      <c r="I73" s="32"/>
      <c r="J73" s="111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</row>
    <row r="74" spans="1:22" hidden="1">
      <c r="A74" s="23" t="str">
        <f t="shared" ref="A74:A78" si="17">B74&amp;" Shop "&amp;C74</f>
        <v>Q1 Shop 2</v>
      </c>
      <c r="B74" s="36" t="s">
        <v>54</v>
      </c>
      <c r="C74" s="33">
        <v>2</v>
      </c>
      <c r="D74" t="str">
        <f t="shared" ref="D74:D137" si="18">IF($J74="","",$J74)</f>
        <v>Acura North Scottsdale</v>
      </c>
      <c r="E74" t="str">
        <f>IF($J74="","",IFERROR(VLOOKUP($J74,KEY!$D$6:$F$76,3,FALSE),""))</f>
        <v>Arizona</v>
      </c>
      <c r="F74" t="str">
        <f>IF($J74="","",IFERROR(VLOOKUP($J74,KEY!$D$6:$F$76,2,FALSE),""))</f>
        <v>Acura</v>
      </c>
      <c r="G74" t="str">
        <f t="shared" ref="G74:G78" si="19">IF($J74="","",A74&amp;"_"&amp;D74)</f>
        <v>Q1 Shop 2_Acura North Scottsdale</v>
      </c>
      <c r="H74" s="30">
        <f t="shared" ref="H74:H105" si="20">IF($J74="","",COUNTIF($M74:$V74,"*"))</f>
        <v>4</v>
      </c>
      <c r="I74" s="30">
        <f t="shared" ref="I74:I105" si="21">IF($J74="","",COUNTIF($M74:$V74,"YES*"))</f>
        <v>3</v>
      </c>
      <c r="J74" s="110" t="s">
        <v>35</v>
      </c>
      <c r="L74" t="s">
        <v>184</v>
      </c>
      <c r="M74" t="s">
        <v>57</v>
      </c>
      <c r="N74" t="s">
        <v>56</v>
      </c>
      <c r="O74" t="s">
        <v>57</v>
      </c>
      <c r="P74" t="s">
        <v>57</v>
      </c>
    </row>
    <row r="75" spans="1:22" hidden="1">
      <c r="A75" s="23" t="str">
        <f t="shared" si="17"/>
        <v>Q1 Shop 2</v>
      </c>
      <c r="B75" s="36" t="str">
        <f t="shared" ref="B75:B138" si="22">B74</f>
        <v>Q1</v>
      </c>
      <c r="C75" s="33">
        <f t="shared" ref="C75:C138" si="23">C74</f>
        <v>2</v>
      </c>
      <c r="D75" t="str">
        <f t="shared" si="18"/>
        <v>Acura of Escondido</v>
      </c>
      <c r="E75" t="str">
        <f>IF($J75="","",IFERROR(VLOOKUP($J75,KEY!$D$6:$F$76,3,FALSE),""))</f>
        <v>Southern California</v>
      </c>
      <c r="F75" t="str">
        <f>IF($J75="","",IFERROR(VLOOKUP($J75,KEY!$D$6:$F$76,2,FALSE),""))</f>
        <v>Acura</v>
      </c>
      <c r="G75" t="str">
        <f t="shared" si="19"/>
        <v>Q1 Shop 2_Acura of Escondido</v>
      </c>
      <c r="H75" s="30">
        <f t="shared" si="20"/>
        <v>4</v>
      </c>
      <c r="I75" s="30">
        <f t="shared" si="21"/>
        <v>3</v>
      </c>
      <c r="J75" s="110" t="s">
        <v>58</v>
      </c>
      <c r="L75" t="s">
        <v>185</v>
      </c>
      <c r="M75" t="s">
        <v>57</v>
      </c>
      <c r="N75" t="s">
        <v>56</v>
      </c>
      <c r="O75" t="s">
        <v>57</v>
      </c>
      <c r="P75" t="s">
        <v>57</v>
      </c>
    </row>
    <row r="76" spans="1:22" hidden="1">
      <c r="A76" s="23" t="str">
        <f t="shared" si="17"/>
        <v>Q1 Shop 2</v>
      </c>
      <c r="B76" s="36" t="str">
        <f t="shared" si="22"/>
        <v>Q1</v>
      </c>
      <c r="C76" s="33">
        <f t="shared" si="23"/>
        <v>2</v>
      </c>
      <c r="D76" t="str">
        <f t="shared" si="18"/>
        <v>Audi Chandler</v>
      </c>
      <c r="E76" t="str">
        <f>IF($J76="","",IFERROR(VLOOKUP($J76,KEY!$D$6:$F$76,3,FALSE),""))</f>
        <v>Arizona</v>
      </c>
      <c r="F76" t="str">
        <f>IF($J76="","",IFERROR(VLOOKUP($J76,KEY!$D$6:$F$76,2,FALSE),""))</f>
        <v>Audi</v>
      </c>
      <c r="G76" t="str">
        <f t="shared" si="19"/>
        <v>Q1 Shop 2_Audi Chandler</v>
      </c>
      <c r="H76" s="30">
        <f t="shared" si="20"/>
        <v>4</v>
      </c>
      <c r="I76" s="30">
        <f t="shared" si="21"/>
        <v>4</v>
      </c>
      <c r="J76" s="110" t="s">
        <v>60</v>
      </c>
      <c r="L76" t="s">
        <v>186</v>
      </c>
      <c r="M76" t="s">
        <v>57</v>
      </c>
      <c r="N76" t="s">
        <v>57</v>
      </c>
      <c r="O76" t="s">
        <v>57</v>
      </c>
      <c r="P76" t="s">
        <v>57</v>
      </c>
    </row>
    <row r="77" spans="1:22" hidden="1">
      <c r="A77" s="23" t="str">
        <f t="shared" si="17"/>
        <v>Q1 Shop 2</v>
      </c>
      <c r="B77" s="36" t="str">
        <f t="shared" si="22"/>
        <v>Q1</v>
      </c>
      <c r="C77" s="33">
        <f t="shared" si="23"/>
        <v>2</v>
      </c>
      <c r="D77" t="str">
        <f t="shared" si="18"/>
        <v>Audi Escondido</v>
      </c>
      <c r="E77" t="str">
        <f>IF($J77="","",IFERROR(VLOOKUP($J77,KEY!$D$6:$F$76,3,FALSE),""))</f>
        <v>Southern California</v>
      </c>
      <c r="F77" t="str">
        <f>IF($J77="","",IFERROR(VLOOKUP($J77,KEY!$D$6:$F$76,2,FALSE),""))</f>
        <v>Audi</v>
      </c>
      <c r="G77" t="str">
        <f t="shared" si="19"/>
        <v>Q1 Shop 2_Audi Escondido</v>
      </c>
      <c r="H77" s="30">
        <f t="shared" si="20"/>
        <v>4</v>
      </c>
      <c r="I77" s="30">
        <f t="shared" si="21"/>
        <v>4</v>
      </c>
      <c r="J77" s="110" t="s">
        <v>62</v>
      </c>
      <c r="L77" t="s">
        <v>187</v>
      </c>
      <c r="M77" t="s">
        <v>57</v>
      </c>
      <c r="N77" t="s">
        <v>57</v>
      </c>
      <c r="O77" t="s">
        <v>57</v>
      </c>
      <c r="P77" t="s">
        <v>57</v>
      </c>
    </row>
    <row r="78" spans="1:22" hidden="1">
      <c r="A78" s="23" t="str">
        <f t="shared" si="17"/>
        <v>Q1 Shop 2</v>
      </c>
      <c r="B78" s="36" t="str">
        <f t="shared" si="22"/>
        <v>Q1</v>
      </c>
      <c r="C78" s="33">
        <f t="shared" si="23"/>
        <v>2</v>
      </c>
      <c r="D78" t="str">
        <f t="shared" si="18"/>
        <v>Audi North OC</v>
      </c>
      <c r="E78" t="str">
        <f>IF($J78="","",IFERROR(VLOOKUP($J78,KEY!$D$6:$F$76,3,FALSE),""))</f>
        <v>Orange County</v>
      </c>
      <c r="F78" t="str">
        <f>IF($J78="","",IFERROR(VLOOKUP($J78,KEY!$D$6:$F$76,2,FALSE),""))</f>
        <v>Audi</v>
      </c>
      <c r="G78" t="str">
        <f t="shared" si="19"/>
        <v>Q1 Shop 2_Audi North OC</v>
      </c>
      <c r="H78" s="30">
        <f t="shared" si="20"/>
        <v>4</v>
      </c>
      <c r="I78" s="30">
        <f t="shared" si="21"/>
        <v>4</v>
      </c>
      <c r="J78" s="110" t="s">
        <v>64</v>
      </c>
      <c r="L78" t="s">
        <v>188</v>
      </c>
      <c r="M78" t="s">
        <v>57</v>
      </c>
      <c r="N78" t="s">
        <v>57</v>
      </c>
      <c r="O78" t="s">
        <v>57</v>
      </c>
      <c r="P78" t="s">
        <v>57</v>
      </c>
    </row>
    <row r="79" spans="1:22" hidden="1">
      <c r="A79" s="23" t="str">
        <f t="shared" ref="A79:A142" si="24">B79&amp;" Shop "&amp;C79</f>
        <v>Q1 Shop 2</v>
      </c>
      <c r="B79" s="36" t="str">
        <f t="shared" si="22"/>
        <v>Q1</v>
      </c>
      <c r="C79" s="33">
        <f t="shared" si="23"/>
        <v>2</v>
      </c>
      <c r="D79" t="str">
        <f t="shared" si="18"/>
        <v>Audi North Scottsdale</v>
      </c>
      <c r="E79" t="str">
        <f>IF($J79="","",IFERROR(VLOOKUP($J79,KEY!$D$6:$F$76,3,FALSE),""))</f>
        <v>Arizona</v>
      </c>
      <c r="F79" t="str">
        <f>IF($J79="","",IFERROR(VLOOKUP($J79,KEY!$D$6:$F$76,2,FALSE),""))</f>
        <v>Audi</v>
      </c>
      <c r="G79" t="str">
        <f t="shared" ref="G79:G142" si="25">IF($J79="","",A79&amp;"_"&amp;D79)</f>
        <v>Q1 Shop 2_Audi North Scottsdale</v>
      </c>
      <c r="H79" s="30">
        <f t="shared" si="20"/>
        <v>4</v>
      </c>
      <c r="I79" s="30">
        <f t="shared" si="21"/>
        <v>4</v>
      </c>
      <c r="J79" s="110" t="s">
        <v>66</v>
      </c>
      <c r="L79" t="s">
        <v>189</v>
      </c>
      <c r="M79" t="s">
        <v>57</v>
      </c>
      <c r="N79" t="s">
        <v>57</v>
      </c>
      <c r="O79" t="s">
        <v>57</v>
      </c>
      <c r="P79" t="s">
        <v>57</v>
      </c>
    </row>
    <row r="80" spans="1:22" hidden="1">
      <c r="A80" s="23" t="str">
        <f t="shared" si="24"/>
        <v>Q1 Shop 2</v>
      </c>
      <c r="B80" s="36" t="str">
        <f t="shared" si="22"/>
        <v>Q1</v>
      </c>
      <c r="C80" s="33">
        <f t="shared" si="23"/>
        <v>2</v>
      </c>
      <c r="D80" t="str">
        <f t="shared" si="18"/>
        <v>Audi San Jose</v>
      </c>
      <c r="E80" t="str">
        <f>IF($J80="","",IFERROR(VLOOKUP($J80,KEY!$D$6:$F$76,3,FALSE),""))</f>
        <v>Northern California</v>
      </c>
      <c r="F80" t="str">
        <f>IF($J80="","",IFERROR(VLOOKUP($J80,KEY!$D$6:$F$76,2,FALSE),""))</f>
        <v>Audi</v>
      </c>
      <c r="G80" t="str">
        <f t="shared" si="25"/>
        <v>Q1 Shop 2_Audi San Jose</v>
      </c>
      <c r="H80" s="30">
        <f t="shared" si="20"/>
        <v>4</v>
      </c>
      <c r="I80" s="30">
        <f t="shared" si="21"/>
        <v>3</v>
      </c>
      <c r="J80" s="110" t="s">
        <v>68</v>
      </c>
      <c r="L80" t="s">
        <v>190</v>
      </c>
      <c r="M80" t="s">
        <v>57</v>
      </c>
      <c r="N80" t="s">
        <v>56</v>
      </c>
      <c r="O80" t="s">
        <v>57</v>
      </c>
      <c r="P80" t="s">
        <v>57</v>
      </c>
    </row>
    <row r="81" spans="1:16" hidden="1">
      <c r="A81" s="23" t="str">
        <f t="shared" si="24"/>
        <v>Q1 Shop 2</v>
      </c>
      <c r="B81" s="36" t="str">
        <f t="shared" si="22"/>
        <v>Q1</v>
      </c>
      <c r="C81" s="33">
        <f t="shared" si="23"/>
        <v>2</v>
      </c>
      <c r="D81" t="str">
        <f t="shared" si="18"/>
        <v>Audi South Coast</v>
      </c>
      <c r="E81" t="str">
        <f>IF($J81="","",IFERROR(VLOOKUP($J81,KEY!$D$6:$F$76,3,FALSE),""))</f>
        <v>Orange County</v>
      </c>
      <c r="F81" t="str">
        <f>IF($J81="","",IFERROR(VLOOKUP($J81,KEY!$D$6:$F$76,2,FALSE),""))</f>
        <v>Audi</v>
      </c>
      <c r="G81" t="str">
        <f t="shared" si="25"/>
        <v>Q1 Shop 2_Audi South Coast</v>
      </c>
      <c r="H81" s="30">
        <f t="shared" si="20"/>
        <v>4</v>
      </c>
      <c r="I81" s="30">
        <f t="shared" si="21"/>
        <v>4</v>
      </c>
      <c r="J81" s="110" t="s">
        <v>70</v>
      </c>
      <c r="L81" t="s">
        <v>191</v>
      </c>
      <c r="M81" t="s">
        <v>57</v>
      </c>
      <c r="N81" t="s">
        <v>57</v>
      </c>
      <c r="O81" t="s">
        <v>57</v>
      </c>
      <c r="P81" t="s">
        <v>57</v>
      </c>
    </row>
    <row r="82" spans="1:16" hidden="1">
      <c r="A82" s="23" t="str">
        <f t="shared" si="24"/>
        <v>Q1 Shop 2</v>
      </c>
      <c r="B82" s="36" t="str">
        <f t="shared" si="22"/>
        <v>Q1</v>
      </c>
      <c r="C82" s="33">
        <f t="shared" si="23"/>
        <v>2</v>
      </c>
      <c r="D82" t="str">
        <f t="shared" si="18"/>
        <v>Bentley Scottsdale</v>
      </c>
      <c r="E82" t="str">
        <f>IF($J82="","",IFERROR(VLOOKUP($J82,KEY!$D$6:$F$76,3,FALSE),""))</f>
        <v>Arizona</v>
      </c>
      <c r="F82" t="str">
        <f>IF($J82="","",IFERROR(VLOOKUP($J82,KEY!$D$6:$F$76,2,FALSE),""))</f>
        <v>Ultra</v>
      </c>
      <c r="G82" t="str">
        <f t="shared" si="25"/>
        <v>Q1 Shop 2_Bentley Scottsdale</v>
      </c>
      <c r="H82" s="30">
        <f t="shared" si="20"/>
        <v>4</v>
      </c>
      <c r="I82" s="30">
        <f t="shared" si="21"/>
        <v>4</v>
      </c>
      <c r="J82" s="110" t="s">
        <v>72</v>
      </c>
      <c r="L82" t="s">
        <v>192</v>
      </c>
      <c r="M82" t="s">
        <v>57</v>
      </c>
      <c r="N82" t="s">
        <v>57</v>
      </c>
      <c r="O82" t="s">
        <v>57</v>
      </c>
      <c r="P82" t="s">
        <v>57</v>
      </c>
    </row>
    <row r="83" spans="1:16" hidden="1">
      <c r="A83" s="23" t="str">
        <f t="shared" si="24"/>
        <v>Q1 Shop 2</v>
      </c>
      <c r="B83" s="36" t="str">
        <f t="shared" si="22"/>
        <v>Q1</v>
      </c>
      <c r="C83" s="33">
        <f t="shared" si="23"/>
        <v>2</v>
      </c>
      <c r="D83" t="str">
        <f t="shared" si="18"/>
        <v/>
      </c>
      <c r="E83" t="str">
        <f>IF($J83="","",IFERROR(VLOOKUP($J83,KEY!$D$6:$F$76,3,FALSE),""))</f>
        <v/>
      </c>
      <c r="F83" t="str">
        <f>IF($J83="","",IFERROR(VLOOKUP($J83,KEY!$D$6:$F$76,2,FALSE),""))</f>
        <v/>
      </c>
      <c r="G83" t="str">
        <f t="shared" si="25"/>
        <v/>
      </c>
      <c r="H83" s="30" t="str">
        <f t="shared" si="20"/>
        <v/>
      </c>
      <c r="I83" s="30" t="str">
        <f t="shared" si="21"/>
        <v/>
      </c>
      <c r="J83" s="110"/>
    </row>
    <row r="84" spans="1:16" hidden="1">
      <c r="A84" s="23" t="str">
        <f t="shared" si="24"/>
        <v>Q1 Shop 2</v>
      </c>
      <c r="B84" s="36" t="str">
        <f t="shared" si="22"/>
        <v>Q1</v>
      </c>
      <c r="C84" s="33">
        <f t="shared" si="23"/>
        <v>2</v>
      </c>
      <c r="D84" t="str">
        <f t="shared" si="18"/>
        <v/>
      </c>
      <c r="E84" t="str">
        <f>IF($J84="","",IFERROR(VLOOKUP($J84,KEY!$D$6:$F$76,3,FALSE),""))</f>
        <v/>
      </c>
      <c r="F84" t="str">
        <f>IF($J84="","",IFERROR(VLOOKUP($J84,KEY!$D$6:$F$76,2,FALSE),""))</f>
        <v/>
      </c>
      <c r="G84" t="str">
        <f t="shared" si="25"/>
        <v/>
      </c>
      <c r="H84" s="30" t="str">
        <f t="shared" si="20"/>
        <v/>
      </c>
      <c r="I84" s="30" t="str">
        <f t="shared" si="21"/>
        <v/>
      </c>
      <c r="J84" s="110"/>
    </row>
    <row r="85" spans="1:16" hidden="1">
      <c r="A85" s="23" t="str">
        <f t="shared" si="24"/>
        <v>Q1 Shop 2</v>
      </c>
      <c r="B85" s="36" t="str">
        <f t="shared" si="22"/>
        <v>Q1</v>
      </c>
      <c r="C85" s="33">
        <f t="shared" si="23"/>
        <v>2</v>
      </c>
      <c r="D85" t="str">
        <f t="shared" si="18"/>
        <v>BMW North Scottsdale</v>
      </c>
      <c r="E85" t="str">
        <f>IF($J85="","",IFERROR(VLOOKUP($J85,KEY!$D$6:$F$76,3,FALSE),""))</f>
        <v>Arizona</v>
      </c>
      <c r="F85" t="str">
        <f>IF($J85="","",IFERROR(VLOOKUP($J85,KEY!$D$6:$F$76,2,FALSE),""))</f>
        <v>BMW</v>
      </c>
      <c r="G85" t="str">
        <f t="shared" si="25"/>
        <v>Q1 Shop 2_BMW North Scottsdale</v>
      </c>
      <c r="H85" s="30">
        <f t="shared" si="20"/>
        <v>4</v>
      </c>
      <c r="I85" s="30">
        <f t="shared" si="21"/>
        <v>4</v>
      </c>
      <c r="J85" s="110" t="s">
        <v>74</v>
      </c>
      <c r="L85" t="s">
        <v>193</v>
      </c>
      <c r="M85" t="s">
        <v>57</v>
      </c>
      <c r="N85" t="s">
        <v>57</v>
      </c>
      <c r="O85" t="s">
        <v>57</v>
      </c>
      <c r="P85" t="s">
        <v>57</v>
      </c>
    </row>
    <row r="86" spans="1:16" hidden="1">
      <c r="A86" s="23" t="str">
        <f t="shared" si="24"/>
        <v>Q1 Shop 2</v>
      </c>
      <c r="B86" s="36" t="str">
        <f t="shared" si="22"/>
        <v>Q1</v>
      </c>
      <c r="C86" s="33">
        <f t="shared" si="23"/>
        <v>2</v>
      </c>
      <c r="D86" t="str">
        <f t="shared" si="18"/>
        <v>BMW of Austin</v>
      </c>
      <c r="E86" t="str">
        <f>IF($J86="","",IFERROR(VLOOKUP($J86,KEY!$D$6:$F$76,3,FALSE),""))</f>
        <v>Texas</v>
      </c>
      <c r="F86" t="str">
        <f>IF($J86="","",IFERROR(VLOOKUP($J86,KEY!$D$6:$F$76,2,FALSE),""))</f>
        <v>BMW</v>
      </c>
      <c r="G86" t="str">
        <f t="shared" si="25"/>
        <v>Q1 Shop 2_BMW of Austin</v>
      </c>
      <c r="H86" s="30">
        <f t="shared" si="20"/>
        <v>4</v>
      </c>
      <c r="I86" s="30">
        <f t="shared" si="21"/>
        <v>2</v>
      </c>
      <c r="J86" s="110" t="s">
        <v>76</v>
      </c>
      <c r="L86" t="s">
        <v>194</v>
      </c>
      <c r="M86" t="s">
        <v>57</v>
      </c>
      <c r="N86" t="s">
        <v>56</v>
      </c>
      <c r="O86" t="s">
        <v>57</v>
      </c>
      <c r="P86" t="s">
        <v>56</v>
      </c>
    </row>
    <row r="87" spans="1:16" hidden="1">
      <c r="A87" s="23" t="str">
        <f t="shared" si="24"/>
        <v>Q1 Shop 2</v>
      </c>
      <c r="B87" s="36" t="str">
        <f t="shared" si="22"/>
        <v>Q1</v>
      </c>
      <c r="C87" s="33">
        <f t="shared" si="23"/>
        <v>2</v>
      </c>
      <c r="D87" t="str">
        <f t="shared" si="18"/>
        <v>BMW of Bloomfield Hills</v>
      </c>
      <c r="E87" t="str">
        <f>IF($J87="","",IFERROR(VLOOKUP($J87,KEY!$D$6:$F$76,3,FALSE),""))</f>
        <v>Michigan &amp; Minnesota</v>
      </c>
      <c r="F87" t="str">
        <f>IF($J87="","",IFERROR(VLOOKUP($J87,KEY!$D$6:$F$76,2,FALSE),""))</f>
        <v>BMW</v>
      </c>
      <c r="G87" t="str">
        <f t="shared" si="25"/>
        <v>Q1 Shop 2_BMW of Bloomfield Hills</v>
      </c>
      <c r="H87" s="30">
        <f t="shared" si="20"/>
        <v>4</v>
      </c>
      <c r="I87" s="30">
        <f t="shared" si="21"/>
        <v>2</v>
      </c>
      <c r="J87" s="110" t="s">
        <v>78</v>
      </c>
      <c r="L87" t="s">
        <v>195</v>
      </c>
      <c r="M87" t="s">
        <v>57</v>
      </c>
      <c r="N87" t="s">
        <v>56</v>
      </c>
      <c r="O87" t="s">
        <v>57</v>
      </c>
      <c r="P87" t="s">
        <v>56</v>
      </c>
    </row>
    <row r="88" spans="1:16" hidden="1">
      <c r="A88" s="23" t="str">
        <f t="shared" si="24"/>
        <v>Q1 Shop 2</v>
      </c>
      <c r="B88" s="36" t="str">
        <f t="shared" si="22"/>
        <v>Q1</v>
      </c>
      <c r="C88" s="33">
        <f t="shared" si="23"/>
        <v>2</v>
      </c>
      <c r="D88" t="str">
        <f t="shared" si="18"/>
        <v>BMW of Ontario</v>
      </c>
      <c r="E88" t="str">
        <f>IF($J88="","",IFERROR(VLOOKUP($J88,KEY!$D$6:$F$76,3,FALSE),""))</f>
        <v>Orange County</v>
      </c>
      <c r="F88" t="str">
        <f>IF($J88="","",IFERROR(VLOOKUP($J88,KEY!$D$6:$F$76,2,FALSE),""))</f>
        <v>BMW</v>
      </c>
      <c r="G88" t="str">
        <f t="shared" si="25"/>
        <v>Q1 Shop 2_BMW of Ontario</v>
      </c>
      <c r="H88" s="30">
        <f t="shared" si="20"/>
        <v>4</v>
      </c>
      <c r="I88" s="30">
        <f t="shared" si="21"/>
        <v>4</v>
      </c>
      <c r="J88" s="6" t="s">
        <v>80</v>
      </c>
      <c r="L88" t="s">
        <v>196</v>
      </c>
      <c r="M88" t="s">
        <v>57</v>
      </c>
      <c r="N88" t="s">
        <v>57</v>
      </c>
      <c r="O88" t="s">
        <v>57</v>
      </c>
      <c r="P88" t="s">
        <v>57</v>
      </c>
    </row>
    <row r="89" spans="1:16" hidden="1">
      <c r="A89" s="23" t="str">
        <f t="shared" si="24"/>
        <v>Q1 Shop 2</v>
      </c>
      <c r="B89" s="36" t="str">
        <f t="shared" si="22"/>
        <v>Q1</v>
      </c>
      <c r="C89" s="33">
        <f t="shared" si="23"/>
        <v>2</v>
      </c>
      <c r="D89" t="str">
        <f t="shared" si="18"/>
        <v>BMW of San Diego</v>
      </c>
      <c r="E89" t="str">
        <f>IF($J89="","",IFERROR(VLOOKUP($J89,KEY!$D$6:$F$76,3,FALSE),""))</f>
        <v>Southern California</v>
      </c>
      <c r="F89" t="str">
        <f>IF($J89="","",IFERROR(VLOOKUP($J89,KEY!$D$6:$F$76,2,FALSE),""))</f>
        <v>BMW</v>
      </c>
      <c r="G89" t="str">
        <f t="shared" si="25"/>
        <v>Q1 Shop 2_BMW of San Diego</v>
      </c>
      <c r="H89" s="30">
        <f t="shared" si="20"/>
        <v>4</v>
      </c>
      <c r="I89" s="30">
        <f t="shared" si="21"/>
        <v>4</v>
      </c>
      <c r="J89" s="110" t="s">
        <v>82</v>
      </c>
      <c r="L89" t="s">
        <v>197</v>
      </c>
      <c r="M89" t="s">
        <v>57</v>
      </c>
      <c r="N89" t="s">
        <v>57</v>
      </c>
      <c r="O89" t="s">
        <v>57</v>
      </c>
      <c r="P89" t="s">
        <v>57</v>
      </c>
    </row>
    <row r="90" spans="1:16" hidden="1">
      <c r="A90" s="23" t="str">
        <f t="shared" si="24"/>
        <v>Q1 Shop 2</v>
      </c>
      <c r="B90" s="36" t="str">
        <f t="shared" si="22"/>
        <v>Q1</v>
      </c>
      <c r="C90" s="33">
        <f t="shared" si="23"/>
        <v>2</v>
      </c>
      <c r="D90" t="str">
        <f t="shared" si="18"/>
        <v>BMW/MINI of Escondido</v>
      </c>
      <c r="E90" t="str">
        <f>IF($J90="","",IFERROR(VLOOKUP($J90,KEY!$D$6:$F$76,3,FALSE),""))</f>
        <v>Southern California</v>
      </c>
      <c r="F90" t="str">
        <f>IF($J90="","",IFERROR(VLOOKUP($J90,KEY!$D$6:$F$76,2,FALSE),""))</f>
        <v>BMW</v>
      </c>
      <c r="G90" t="str">
        <f t="shared" si="25"/>
        <v>Q1 Shop 2_BMW/MINI of Escondido</v>
      </c>
      <c r="H90" s="30">
        <f t="shared" si="20"/>
        <v>4</v>
      </c>
      <c r="I90" s="30">
        <f t="shared" si="21"/>
        <v>3</v>
      </c>
      <c r="J90" s="110" t="s">
        <v>84</v>
      </c>
      <c r="L90" t="s">
        <v>198</v>
      </c>
      <c r="M90" t="s">
        <v>57</v>
      </c>
      <c r="N90" t="s">
        <v>57</v>
      </c>
      <c r="O90" t="s">
        <v>57</v>
      </c>
      <c r="P90" t="s">
        <v>56</v>
      </c>
    </row>
    <row r="91" spans="1:16" hidden="1">
      <c r="A91" s="23" t="str">
        <f t="shared" si="24"/>
        <v>Q1 Shop 2</v>
      </c>
      <c r="B91" s="36" t="str">
        <f t="shared" si="22"/>
        <v>Q1</v>
      </c>
      <c r="C91" s="33">
        <f t="shared" si="23"/>
        <v>2</v>
      </c>
      <c r="D91" t="str">
        <f t="shared" si="18"/>
        <v>Capitol Acura</v>
      </c>
      <c r="E91" t="str">
        <f>IF($J91="","",IFERROR(VLOOKUP($J91,KEY!$D$6:$F$76,3,FALSE),""))</f>
        <v>Northern California</v>
      </c>
      <c r="F91" t="str">
        <f>IF($J91="","",IFERROR(VLOOKUP($J91,KEY!$D$6:$F$76,2,FALSE),""))</f>
        <v>Acura</v>
      </c>
      <c r="G91" t="str">
        <f t="shared" si="25"/>
        <v>Q1 Shop 2_Capitol Acura</v>
      </c>
      <c r="H91" s="30">
        <f t="shared" si="20"/>
        <v>4</v>
      </c>
      <c r="I91" s="30">
        <f t="shared" si="21"/>
        <v>1</v>
      </c>
      <c r="J91" s="110" t="s">
        <v>86</v>
      </c>
      <c r="L91" t="s">
        <v>199</v>
      </c>
      <c r="M91" t="s">
        <v>56</v>
      </c>
      <c r="N91" t="s">
        <v>56</v>
      </c>
      <c r="O91" t="s">
        <v>56</v>
      </c>
      <c r="P91" t="s">
        <v>57</v>
      </c>
    </row>
    <row r="92" spans="1:16" hidden="1">
      <c r="A92" s="23" t="str">
        <f t="shared" si="24"/>
        <v>Q1 Shop 2</v>
      </c>
      <c r="B92" s="36" t="str">
        <f t="shared" si="22"/>
        <v>Q1</v>
      </c>
      <c r="C92" s="33">
        <f t="shared" si="23"/>
        <v>2</v>
      </c>
      <c r="D92" t="str">
        <f t="shared" si="18"/>
        <v>Capitol Honda</v>
      </c>
      <c r="E92" t="str">
        <f>IF($J92="","",IFERROR(VLOOKUP($J92,KEY!$D$6:$F$76,3,FALSE),""))</f>
        <v>Northern California</v>
      </c>
      <c r="F92" t="str">
        <f>IF($J92="","",IFERROR(VLOOKUP($J92,KEY!$D$6:$F$76,2,FALSE),""))</f>
        <v>Honda</v>
      </c>
      <c r="G92" t="str">
        <f t="shared" si="25"/>
        <v>Q1 Shop 2_Capitol Honda</v>
      </c>
      <c r="H92" s="30">
        <f t="shared" si="20"/>
        <v>4</v>
      </c>
      <c r="I92" s="30">
        <f t="shared" si="21"/>
        <v>4</v>
      </c>
      <c r="J92" s="110" t="s">
        <v>88</v>
      </c>
      <c r="L92" t="s">
        <v>200</v>
      </c>
      <c r="M92" t="s">
        <v>57</v>
      </c>
      <c r="N92" t="s">
        <v>57</v>
      </c>
      <c r="O92" t="s">
        <v>57</v>
      </c>
      <c r="P92" t="s">
        <v>57</v>
      </c>
    </row>
    <row r="93" spans="1:16" hidden="1">
      <c r="A93" s="23" t="str">
        <f t="shared" si="24"/>
        <v>Q1 Shop 2</v>
      </c>
      <c r="B93" s="36" t="str">
        <f t="shared" si="22"/>
        <v>Q1</v>
      </c>
      <c r="C93" s="33">
        <f t="shared" si="23"/>
        <v>2</v>
      </c>
      <c r="D93" t="str">
        <f t="shared" si="18"/>
        <v>Crevier BMW</v>
      </c>
      <c r="E93" t="str">
        <f>IF($J93="","",IFERROR(VLOOKUP($J93,KEY!$D$6:$F$76,3,FALSE),""))</f>
        <v>Orange County</v>
      </c>
      <c r="F93" t="str">
        <f>IF($J93="","",IFERROR(VLOOKUP($J93,KEY!$D$6:$F$76,2,FALSE),""))</f>
        <v>BMW</v>
      </c>
      <c r="G93" t="str">
        <f t="shared" si="25"/>
        <v>Q1 Shop 2_Crevier BMW</v>
      </c>
      <c r="H93" s="30">
        <f t="shared" si="20"/>
        <v>4</v>
      </c>
      <c r="I93" s="30">
        <f t="shared" si="21"/>
        <v>4</v>
      </c>
      <c r="J93" s="110" t="s">
        <v>90</v>
      </c>
      <c r="L93" t="s">
        <v>201</v>
      </c>
      <c r="M93" t="s">
        <v>57</v>
      </c>
      <c r="N93" t="s">
        <v>57</v>
      </c>
      <c r="O93" t="s">
        <v>57</v>
      </c>
      <c r="P93" t="s">
        <v>57</v>
      </c>
    </row>
    <row r="94" spans="1:16" hidden="1">
      <c r="A94" s="23" t="str">
        <f t="shared" si="24"/>
        <v>Q1 Shop 2</v>
      </c>
      <c r="B94" s="36" t="str">
        <f t="shared" si="22"/>
        <v>Q1</v>
      </c>
      <c r="C94" s="33">
        <f t="shared" si="23"/>
        <v>2</v>
      </c>
      <c r="D94" t="str">
        <f t="shared" si="18"/>
        <v>Crevier MINI</v>
      </c>
      <c r="E94" t="str">
        <f>IF($J94="","",IFERROR(VLOOKUP($J94,KEY!$D$6:$F$76,3,FALSE),""))</f>
        <v>Orange County</v>
      </c>
      <c r="F94" t="str">
        <f>IF($J94="","",IFERROR(VLOOKUP($J94,KEY!$D$6:$F$76,2,FALSE),""))</f>
        <v>MINI</v>
      </c>
      <c r="G94" t="str">
        <f t="shared" si="25"/>
        <v>Q1 Shop 2_Crevier MINI</v>
      </c>
      <c r="H94" s="30">
        <f t="shared" si="20"/>
        <v>4</v>
      </c>
      <c r="I94" s="30">
        <f t="shared" si="21"/>
        <v>2</v>
      </c>
      <c r="J94" s="110" t="s">
        <v>92</v>
      </c>
      <c r="L94" t="s">
        <v>202</v>
      </c>
      <c r="M94" t="s">
        <v>56</v>
      </c>
      <c r="N94" t="s">
        <v>56</v>
      </c>
      <c r="O94" t="s">
        <v>57</v>
      </c>
      <c r="P94" t="s">
        <v>57</v>
      </c>
    </row>
    <row r="95" spans="1:16" hidden="1">
      <c r="A95" s="23" t="str">
        <f t="shared" si="24"/>
        <v>Q1 Shop 2</v>
      </c>
      <c r="B95" s="36" t="str">
        <f t="shared" si="22"/>
        <v>Q1</v>
      </c>
      <c r="C95" s="33">
        <f t="shared" si="23"/>
        <v>2</v>
      </c>
      <c r="D95" t="str">
        <f t="shared" si="18"/>
        <v>East Madison Toyota</v>
      </c>
      <c r="E95" t="str">
        <f>IF($J95="","",IFERROR(VLOOKUP($J95,KEY!$D$6:$F$76,3,FALSE),""))</f>
        <v>Wisconsin</v>
      </c>
      <c r="F95" t="str">
        <f>IF($J95="","",IFERROR(VLOOKUP($J95,KEY!$D$6:$F$76,2,FALSE),""))</f>
        <v>Toyota</v>
      </c>
      <c r="G95" t="str">
        <f t="shared" si="25"/>
        <v>Q1 Shop 2_East Madison Toyota</v>
      </c>
      <c r="H95" s="30">
        <f t="shared" si="20"/>
        <v>4</v>
      </c>
      <c r="I95" s="30">
        <f t="shared" si="21"/>
        <v>3</v>
      </c>
      <c r="J95" s="110" t="s">
        <v>94</v>
      </c>
      <c r="L95" t="s">
        <v>203</v>
      </c>
      <c r="M95" t="s">
        <v>57</v>
      </c>
      <c r="N95" t="s">
        <v>56</v>
      </c>
      <c r="O95" t="s">
        <v>57</v>
      </c>
      <c r="P95" t="s">
        <v>57</v>
      </c>
    </row>
    <row r="96" spans="1:16" hidden="1">
      <c r="A96" s="23" t="str">
        <f t="shared" si="24"/>
        <v>Q1 Shop 2</v>
      </c>
      <c r="B96" s="36" t="str">
        <f t="shared" si="22"/>
        <v>Q1</v>
      </c>
      <c r="C96" s="33">
        <f t="shared" si="23"/>
        <v>2</v>
      </c>
      <c r="D96" t="str">
        <f t="shared" si="18"/>
        <v>Genesis of Noblesville</v>
      </c>
      <c r="E96" t="str">
        <f>IF($J96="","",IFERROR(VLOOKUP($J96,KEY!$D$6:$F$76,3,FALSE),""))</f>
        <v/>
      </c>
      <c r="F96" t="str">
        <f>IF($J96="","",IFERROR(VLOOKUP($J96,KEY!$D$6:$F$76,2,FALSE),""))</f>
        <v/>
      </c>
      <c r="G96" t="str">
        <f t="shared" si="25"/>
        <v>Q1 Shop 2_Genesis of Noblesville</v>
      </c>
      <c r="H96" s="30">
        <f t="shared" si="20"/>
        <v>4</v>
      </c>
      <c r="I96" s="30">
        <f t="shared" si="21"/>
        <v>3</v>
      </c>
      <c r="J96" s="110" t="s">
        <v>96</v>
      </c>
      <c r="L96" t="s">
        <v>204</v>
      </c>
      <c r="M96" t="s">
        <v>57</v>
      </c>
      <c r="N96" t="s">
        <v>56</v>
      </c>
      <c r="O96" t="s">
        <v>57</v>
      </c>
      <c r="P96" t="s">
        <v>57</v>
      </c>
    </row>
    <row r="97" spans="1:16" hidden="1">
      <c r="A97" s="23" t="str">
        <f t="shared" si="24"/>
        <v>Q1 Shop 2</v>
      </c>
      <c r="B97" s="36" t="str">
        <f t="shared" si="22"/>
        <v>Q1</v>
      </c>
      <c r="C97" s="33">
        <f t="shared" si="23"/>
        <v>2</v>
      </c>
      <c r="D97" t="str">
        <f t="shared" si="18"/>
        <v>Genesis of Round Rock</v>
      </c>
      <c r="E97" t="str">
        <f>IF($J97="","",IFERROR(VLOOKUP($J97,KEY!$D$6:$F$76,3,FALSE),""))</f>
        <v>Texas</v>
      </c>
      <c r="F97" t="str">
        <f>IF($J97="","",IFERROR(VLOOKUP($J97,KEY!$D$6:$F$76,2,FALSE),""))</f>
        <v>Genesis</v>
      </c>
      <c r="G97" t="str">
        <f t="shared" si="25"/>
        <v>Q1 Shop 2_Genesis of Round Rock</v>
      </c>
      <c r="H97" s="30">
        <f t="shared" si="20"/>
        <v>4</v>
      </c>
      <c r="I97" s="30">
        <f t="shared" si="21"/>
        <v>3</v>
      </c>
      <c r="J97" s="110" t="s">
        <v>98</v>
      </c>
      <c r="L97" t="s">
        <v>205</v>
      </c>
      <c r="M97" t="s">
        <v>57</v>
      </c>
      <c r="N97" t="s">
        <v>56</v>
      </c>
      <c r="O97" t="s">
        <v>57</v>
      </c>
      <c r="P97" t="s">
        <v>57</v>
      </c>
    </row>
    <row r="98" spans="1:16" hidden="1">
      <c r="A98" s="23" t="str">
        <f t="shared" si="24"/>
        <v>Q1 Shop 2</v>
      </c>
      <c r="B98" s="36" t="str">
        <f t="shared" si="22"/>
        <v>Q1</v>
      </c>
      <c r="C98" s="33">
        <f t="shared" si="23"/>
        <v>2</v>
      </c>
      <c r="D98" t="str">
        <f t="shared" si="18"/>
        <v>Honda Leander</v>
      </c>
      <c r="E98" t="str">
        <f>IF($J98="","",IFERROR(VLOOKUP($J98,KEY!$D$6:$F$76,3,FALSE),""))</f>
        <v>Texas</v>
      </c>
      <c r="F98" t="str">
        <f>IF($J98="","",IFERROR(VLOOKUP($J98,KEY!$D$6:$F$76,2,FALSE),""))</f>
        <v>Honda</v>
      </c>
      <c r="G98" t="str">
        <f t="shared" si="25"/>
        <v>Q1 Shop 2_Honda Leander</v>
      </c>
      <c r="H98" s="30">
        <f t="shared" si="20"/>
        <v>4</v>
      </c>
      <c r="I98" s="30">
        <f t="shared" si="21"/>
        <v>4</v>
      </c>
      <c r="J98" s="110" t="s">
        <v>100</v>
      </c>
      <c r="L98" t="s">
        <v>206</v>
      </c>
      <c r="M98" t="s">
        <v>57</v>
      </c>
      <c r="N98" t="s">
        <v>57</v>
      </c>
      <c r="O98" t="s">
        <v>57</v>
      </c>
      <c r="P98" t="s">
        <v>57</v>
      </c>
    </row>
    <row r="99" spans="1:16" hidden="1">
      <c r="A99" s="23" t="str">
        <f t="shared" si="24"/>
        <v>Q1 Shop 2</v>
      </c>
      <c r="B99" s="36" t="str">
        <f t="shared" si="22"/>
        <v>Q1</v>
      </c>
      <c r="C99" s="33">
        <f t="shared" si="23"/>
        <v>2</v>
      </c>
      <c r="D99" t="str">
        <f t="shared" si="18"/>
        <v>Honda North</v>
      </c>
      <c r="E99" t="str">
        <f>IF($J99="","",IFERROR(VLOOKUP($J99,KEY!$D$6:$F$76,3,FALSE),""))</f>
        <v>Northern California</v>
      </c>
      <c r="F99" t="str">
        <f>IF($J99="","",IFERROR(VLOOKUP($J99,KEY!$D$6:$F$76,2,FALSE),""))</f>
        <v>Honda</v>
      </c>
      <c r="G99" t="str">
        <f t="shared" si="25"/>
        <v>Q1 Shop 2_Honda North</v>
      </c>
      <c r="H99" s="30">
        <f t="shared" si="20"/>
        <v>4</v>
      </c>
      <c r="I99" s="30">
        <f t="shared" si="21"/>
        <v>3</v>
      </c>
      <c r="J99" s="110" t="s">
        <v>102</v>
      </c>
      <c r="L99" t="s">
        <v>207</v>
      </c>
      <c r="M99" t="s">
        <v>57</v>
      </c>
      <c r="N99" t="s">
        <v>56</v>
      </c>
      <c r="O99" t="s">
        <v>57</v>
      </c>
      <c r="P99" t="s">
        <v>57</v>
      </c>
    </row>
    <row r="100" spans="1:16" hidden="1">
      <c r="A100" s="23" t="str">
        <f t="shared" si="24"/>
        <v>Q1 Shop 2</v>
      </c>
      <c r="B100" s="36" t="str">
        <f t="shared" si="22"/>
        <v>Q1</v>
      </c>
      <c r="C100" s="33">
        <f t="shared" si="23"/>
        <v>2</v>
      </c>
      <c r="D100" t="str">
        <f t="shared" si="18"/>
        <v>Honda of Escondido</v>
      </c>
      <c r="E100" t="str">
        <f>IF($J100="","",IFERROR(VLOOKUP($J100,KEY!$D$6:$F$76,3,FALSE),""))</f>
        <v>Southern California</v>
      </c>
      <c r="F100" t="str">
        <f>IF($J100="","",IFERROR(VLOOKUP($J100,KEY!$D$6:$F$76,2,FALSE),""))</f>
        <v>Honda</v>
      </c>
      <c r="G100" t="str">
        <f t="shared" si="25"/>
        <v>Q1 Shop 2_Honda of Escondido</v>
      </c>
      <c r="H100" s="30">
        <f t="shared" si="20"/>
        <v>4</v>
      </c>
      <c r="I100" s="30">
        <f t="shared" si="21"/>
        <v>4</v>
      </c>
      <c r="J100" s="110" t="s">
        <v>104</v>
      </c>
      <c r="L100" t="s">
        <v>208</v>
      </c>
      <c r="M100" t="s">
        <v>57</v>
      </c>
      <c r="N100" t="s">
        <v>57</v>
      </c>
      <c r="O100" t="s">
        <v>57</v>
      </c>
      <c r="P100" t="s">
        <v>57</v>
      </c>
    </row>
    <row r="101" spans="1:16" hidden="1">
      <c r="A101" s="23" t="str">
        <f t="shared" si="24"/>
        <v>Q1 Shop 2</v>
      </c>
      <c r="B101" s="36" t="str">
        <f t="shared" si="22"/>
        <v>Q1</v>
      </c>
      <c r="C101" s="33">
        <f t="shared" si="23"/>
        <v>2</v>
      </c>
      <c r="D101" t="str">
        <f t="shared" si="18"/>
        <v>Hyundai of Noblesville</v>
      </c>
      <c r="E101" t="str">
        <f>IF($J101="","",IFERROR(VLOOKUP($J101,KEY!$D$6:$F$76,3,FALSE),""))</f>
        <v/>
      </c>
      <c r="F101" t="str">
        <f>IF($J101="","",IFERROR(VLOOKUP($J101,KEY!$D$6:$F$76,2,FALSE),""))</f>
        <v/>
      </c>
      <c r="G101" t="str">
        <f t="shared" si="25"/>
        <v>Q1 Shop 2_Hyundai of Noblesville</v>
      </c>
      <c r="H101" s="30">
        <f t="shared" si="20"/>
        <v>4</v>
      </c>
      <c r="I101" s="30">
        <f t="shared" si="21"/>
        <v>4</v>
      </c>
      <c r="J101" s="110" t="s">
        <v>106</v>
      </c>
      <c r="L101" t="s">
        <v>209</v>
      </c>
      <c r="M101" t="s">
        <v>57</v>
      </c>
      <c r="N101" t="s">
        <v>57</v>
      </c>
      <c r="O101" t="s">
        <v>57</v>
      </c>
      <c r="P101" t="s">
        <v>57</v>
      </c>
    </row>
    <row r="102" spans="1:16" hidden="1">
      <c r="A102" s="23" t="str">
        <f t="shared" si="24"/>
        <v>Q1 Shop 2</v>
      </c>
      <c r="B102" s="36" t="str">
        <f t="shared" si="22"/>
        <v>Q1</v>
      </c>
      <c r="C102" s="33">
        <f t="shared" si="23"/>
        <v>2</v>
      </c>
      <c r="D102" t="str">
        <f t="shared" si="18"/>
        <v/>
      </c>
      <c r="E102" t="str">
        <f>IF($J102="","",IFERROR(VLOOKUP($J102,KEY!$D$6:$F$76,3,FALSE),""))</f>
        <v/>
      </c>
      <c r="F102" t="str">
        <f>IF($J102="","",IFERROR(VLOOKUP($J102,KEY!$D$6:$F$76,2,FALSE),""))</f>
        <v/>
      </c>
      <c r="G102" t="str">
        <f t="shared" si="25"/>
        <v/>
      </c>
      <c r="H102" s="30" t="str">
        <f t="shared" si="20"/>
        <v/>
      </c>
      <c r="I102" s="30" t="str">
        <f t="shared" si="21"/>
        <v/>
      </c>
      <c r="J102" s="110"/>
    </row>
    <row r="103" spans="1:16" hidden="1">
      <c r="A103" s="23" t="str">
        <f t="shared" si="24"/>
        <v>Q1 Shop 2</v>
      </c>
      <c r="B103" s="36" t="str">
        <f t="shared" si="22"/>
        <v>Q1</v>
      </c>
      <c r="C103" s="33">
        <f t="shared" si="23"/>
        <v>2</v>
      </c>
      <c r="D103" t="str">
        <f t="shared" si="18"/>
        <v>Hyundai of Pharr</v>
      </c>
      <c r="E103" t="str">
        <f>IF($J103="","",IFERROR(VLOOKUP($J103,KEY!$D$6:$F$76,3,FALSE),""))</f>
        <v>Texas</v>
      </c>
      <c r="F103" t="str">
        <f>IF($J103="","",IFERROR(VLOOKUP($J103,KEY!$D$6:$F$76,2,FALSE),""))</f>
        <v>Hyundai</v>
      </c>
      <c r="G103" t="str">
        <f t="shared" si="25"/>
        <v>Q1 Shop 2_Hyundai of Pharr</v>
      </c>
      <c r="H103" s="30">
        <f t="shared" si="20"/>
        <v>4</v>
      </c>
      <c r="I103" s="30">
        <f t="shared" si="21"/>
        <v>3</v>
      </c>
      <c r="J103" s="110" t="s">
        <v>108</v>
      </c>
      <c r="L103" t="s">
        <v>210</v>
      </c>
      <c r="M103" t="s">
        <v>57</v>
      </c>
      <c r="N103" t="s">
        <v>56</v>
      </c>
      <c r="O103" t="s">
        <v>57</v>
      </c>
      <c r="P103" t="s">
        <v>57</v>
      </c>
    </row>
    <row r="104" spans="1:16" hidden="1">
      <c r="A104" s="23" t="str">
        <f t="shared" si="24"/>
        <v>Q1 Shop 2</v>
      </c>
      <c r="B104" s="36" t="str">
        <f t="shared" si="22"/>
        <v>Q1</v>
      </c>
      <c r="C104" s="33">
        <f t="shared" si="23"/>
        <v>2</v>
      </c>
      <c r="D104" t="str">
        <f t="shared" si="18"/>
        <v/>
      </c>
      <c r="E104" t="str">
        <f>IF($J104="","",IFERROR(VLOOKUP($J104,KEY!$D$6:$F$76,3,FALSE),""))</f>
        <v/>
      </c>
      <c r="F104" t="str">
        <f>IF($J104="","",IFERROR(VLOOKUP($J104,KEY!$D$6:$F$76,2,FALSE),""))</f>
        <v/>
      </c>
      <c r="G104" t="str">
        <f t="shared" si="25"/>
        <v/>
      </c>
      <c r="H104" s="30" t="str">
        <f t="shared" si="20"/>
        <v/>
      </c>
      <c r="I104" s="30" t="str">
        <f t="shared" si="21"/>
        <v/>
      </c>
      <c r="J104" s="110"/>
    </row>
    <row r="105" spans="1:16" hidden="1">
      <c r="A105" s="23" t="str">
        <f t="shared" si="24"/>
        <v>Q1 Shop 2</v>
      </c>
      <c r="B105" s="36" t="str">
        <f t="shared" si="22"/>
        <v>Q1</v>
      </c>
      <c r="C105" s="33">
        <f t="shared" si="23"/>
        <v>2</v>
      </c>
      <c r="D105" t="str">
        <f t="shared" si="18"/>
        <v>Kearny Mesa Acura</v>
      </c>
      <c r="E105" t="str">
        <f>IF($J105="","",IFERROR(VLOOKUP($J105,KEY!$D$6:$F$76,3,FALSE),""))</f>
        <v/>
      </c>
      <c r="F105" t="str">
        <f>IF($J105="","",IFERROR(VLOOKUP($J105,KEY!$D$6:$F$76,2,FALSE),""))</f>
        <v/>
      </c>
      <c r="G105" t="str">
        <f t="shared" si="25"/>
        <v>Q1 Shop 2_Kearny Mesa Acura</v>
      </c>
      <c r="H105" s="30">
        <f t="shared" si="20"/>
        <v>4</v>
      </c>
      <c r="I105" s="30">
        <f t="shared" si="21"/>
        <v>2</v>
      </c>
      <c r="J105" s="110" t="s">
        <v>110</v>
      </c>
      <c r="L105" t="s">
        <v>211</v>
      </c>
      <c r="M105" t="s">
        <v>57</v>
      </c>
      <c r="N105" t="s">
        <v>56</v>
      </c>
      <c r="O105" t="s">
        <v>56</v>
      </c>
      <c r="P105" t="s">
        <v>57</v>
      </c>
    </row>
    <row r="106" spans="1:16" hidden="1">
      <c r="A106" s="23" t="str">
        <f t="shared" si="24"/>
        <v>Q1 Shop 2</v>
      </c>
      <c r="B106" s="36" t="str">
        <f t="shared" si="22"/>
        <v>Q1</v>
      </c>
      <c r="C106" s="33">
        <f t="shared" si="23"/>
        <v>2</v>
      </c>
      <c r="D106" t="str">
        <f t="shared" si="18"/>
        <v>Kearny Mesa Toyota</v>
      </c>
      <c r="E106" t="str">
        <f>IF($J106="","",IFERROR(VLOOKUP($J106,KEY!$D$6:$F$76,3,FALSE),""))</f>
        <v>Southern California</v>
      </c>
      <c r="F106" t="str">
        <f>IF($J106="","",IFERROR(VLOOKUP($J106,KEY!$D$6:$F$76,2,FALSE),""))</f>
        <v>Toyota</v>
      </c>
      <c r="G106" t="str">
        <f t="shared" si="25"/>
        <v>Q1 Shop 2_Kearny Mesa Toyota</v>
      </c>
      <c r="H106" s="30">
        <f t="shared" ref="H106:H137" si="26">IF($J106="","",COUNTIF($M106:$V106,"*"))</f>
        <v>4</v>
      </c>
      <c r="I106" s="30">
        <f t="shared" ref="I106:I137" si="27">IF($J106="","",COUNTIF($M106:$V106,"YES*"))</f>
        <v>3</v>
      </c>
      <c r="J106" s="110" t="s">
        <v>112</v>
      </c>
      <c r="L106" t="s">
        <v>212</v>
      </c>
      <c r="M106" t="s">
        <v>57</v>
      </c>
      <c r="N106" t="s">
        <v>57</v>
      </c>
      <c r="O106" t="s">
        <v>57</v>
      </c>
      <c r="P106" t="s">
        <v>56</v>
      </c>
    </row>
    <row r="107" spans="1:16" hidden="1">
      <c r="A107" s="23" t="str">
        <f t="shared" si="24"/>
        <v>Q1 Shop 2</v>
      </c>
      <c r="B107" s="36" t="str">
        <f t="shared" si="22"/>
        <v>Q1</v>
      </c>
      <c r="C107" s="33">
        <f t="shared" si="23"/>
        <v>2</v>
      </c>
      <c r="D107" t="str">
        <f t="shared" si="18"/>
        <v>Land Rover Chandler</v>
      </c>
      <c r="E107" t="str">
        <f>IF($J107="","",IFERROR(VLOOKUP($J107,KEY!$D$6:$F$76,3,FALSE),""))</f>
        <v>Arizona</v>
      </c>
      <c r="F107" t="str">
        <f>IF($J107="","",IFERROR(VLOOKUP($J107,KEY!$D$6:$F$76,2,FALSE),""))</f>
        <v>LR</v>
      </c>
      <c r="G107" t="str">
        <f t="shared" si="25"/>
        <v>Q1 Shop 2_Land Rover Chandler</v>
      </c>
      <c r="H107" s="30">
        <f t="shared" si="26"/>
        <v>4</v>
      </c>
      <c r="I107" s="30">
        <f t="shared" si="27"/>
        <v>4</v>
      </c>
      <c r="J107" s="110" t="s">
        <v>116</v>
      </c>
      <c r="L107" t="s">
        <v>213</v>
      </c>
      <c r="M107" t="s">
        <v>57</v>
      </c>
      <c r="N107" t="s">
        <v>57</v>
      </c>
      <c r="O107" t="s">
        <v>57</v>
      </c>
      <c r="P107" t="s">
        <v>57</v>
      </c>
    </row>
    <row r="108" spans="1:16" hidden="1">
      <c r="A108" s="23" t="str">
        <f t="shared" si="24"/>
        <v>Q1 Shop 2</v>
      </c>
      <c r="B108" s="36" t="str">
        <f t="shared" si="22"/>
        <v>Q1</v>
      </c>
      <c r="C108" s="33">
        <f t="shared" si="23"/>
        <v>2</v>
      </c>
      <c r="D108" t="str">
        <f t="shared" si="18"/>
        <v>Land Rover North Scottsdale</v>
      </c>
      <c r="E108" t="str">
        <f>IF($J108="","",IFERROR(VLOOKUP($J108,KEY!$D$6:$F$76,3,FALSE),""))</f>
        <v>Arizona</v>
      </c>
      <c r="F108" t="str">
        <f>IF($J108="","",IFERROR(VLOOKUP($J108,KEY!$D$6:$F$76,2,FALSE),""))</f>
        <v>LR</v>
      </c>
      <c r="G108" t="str">
        <f t="shared" si="25"/>
        <v>Q1 Shop 2_Land Rover North Scottsdale</v>
      </c>
      <c r="H108" s="30">
        <f t="shared" si="26"/>
        <v>4</v>
      </c>
      <c r="I108" s="30">
        <f t="shared" si="27"/>
        <v>3</v>
      </c>
      <c r="J108" s="110" t="s">
        <v>118</v>
      </c>
      <c r="L108" t="s">
        <v>214</v>
      </c>
      <c r="M108" t="s">
        <v>57</v>
      </c>
      <c r="N108" t="s">
        <v>56</v>
      </c>
      <c r="O108" t="s">
        <v>57</v>
      </c>
      <c r="P108" t="s">
        <v>57</v>
      </c>
    </row>
    <row r="109" spans="1:16" hidden="1">
      <c r="A109" s="23" t="str">
        <f t="shared" si="24"/>
        <v>Q1 Shop 2</v>
      </c>
      <c r="B109" s="36" t="str">
        <f t="shared" si="22"/>
        <v>Q1</v>
      </c>
      <c r="C109" s="33">
        <f t="shared" si="23"/>
        <v>2</v>
      </c>
      <c r="D109" t="str">
        <f t="shared" si="18"/>
        <v>Lexus of Austin</v>
      </c>
      <c r="E109" t="str">
        <f>IF($J109="","",IFERROR(VLOOKUP($J109,KEY!$D$6:$F$76,3,FALSE),""))</f>
        <v>Texas</v>
      </c>
      <c r="F109" t="str">
        <f>IF($J109="","",IFERROR(VLOOKUP($J109,KEY!$D$6:$F$76,2,FALSE),""))</f>
        <v>Lexus</v>
      </c>
      <c r="G109" t="str">
        <f t="shared" si="25"/>
        <v>Q1 Shop 2_Lexus of Austin</v>
      </c>
      <c r="H109" s="30">
        <f t="shared" si="26"/>
        <v>4</v>
      </c>
      <c r="I109" s="30">
        <f t="shared" si="27"/>
        <v>3</v>
      </c>
      <c r="J109" s="110" t="s">
        <v>120</v>
      </c>
      <c r="L109" t="s">
        <v>215</v>
      </c>
      <c r="M109" t="s">
        <v>57</v>
      </c>
      <c r="N109" t="s">
        <v>57</v>
      </c>
      <c r="O109" t="s">
        <v>56</v>
      </c>
      <c r="P109" t="s">
        <v>57</v>
      </c>
    </row>
    <row r="110" spans="1:16" hidden="1">
      <c r="A110" s="23" t="str">
        <f t="shared" si="24"/>
        <v>Q1 Shop 2</v>
      </c>
      <c r="B110" s="36" t="str">
        <f t="shared" si="22"/>
        <v>Q1</v>
      </c>
      <c r="C110" s="33">
        <f t="shared" si="23"/>
        <v>2</v>
      </c>
      <c r="D110" t="str">
        <f t="shared" si="18"/>
        <v>Lexus of Chandler</v>
      </c>
      <c r="E110" t="str">
        <f>IF($J110="","",IFERROR(VLOOKUP($J110,KEY!$D$6:$F$76,3,FALSE),""))</f>
        <v>Arizona</v>
      </c>
      <c r="F110" t="str">
        <f>IF($J110="","",IFERROR(VLOOKUP($J110,KEY!$D$6:$F$76,2,FALSE),""))</f>
        <v>Lexus</v>
      </c>
      <c r="G110" t="str">
        <f t="shared" si="25"/>
        <v>Q1 Shop 2_Lexus of Chandler</v>
      </c>
      <c r="H110" s="30">
        <f t="shared" si="26"/>
        <v>4</v>
      </c>
      <c r="I110" s="30">
        <f t="shared" si="27"/>
        <v>3</v>
      </c>
      <c r="J110" s="6" t="s">
        <v>122</v>
      </c>
      <c r="L110" t="s">
        <v>216</v>
      </c>
      <c r="M110" t="s">
        <v>57</v>
      </c>
      <c r="N110" t="s">
        <v>56</v>
      </c>
      <c r="O110" t="s">
        <v>57</v>
      </c>
      <c r="P110" t="s">
        <v>57</v>
      </c>
    </row>
    <row r="111" spans="1:16" hidden="1">
      <c r="A111" s="23" t="str">
        <f t="shared" si="24"/>
        <v>Q1 Shop 2</v>
      </c>
      <c r="B111" s="36" t="str">
        <f t="shared" si="22"/>
        <v>Q1</v>
      </c>
      <c r="C111" s="33">
        <f t="shared" si="23"/>
        <v>2</v>
      </c>
      <c r="D111" t="str">
        <f t="shared" si="18"/>
        <v>Lexus of Lakeway</v>
      </c>
      <c r="E111" t="str">
        <f>IF($J111="","",IFERROR(VLOOKUP($J111,KEY!$D$6:$F$76,3,FALSE),""))</f>
        <v>Texas</v>
      </c>
      <c r="F111" t="str">
        <f>IF($J111="","",IFERROR(VLOOKUP($J111,KEY!$D$6:$F$76,2,FALSE),""))</f>
        <v>Lexus</v>
      </c>
      <c r="G111" t="str">
        <f t="shared" si="25"/>
        <v>Q1 Shop 2_Lexus of Lakeway</v>
      </c>
      <c r="H111" s="30">
        <f t="shared" si="26"/>
        <v>4</v>
      </c>
      <c r="I111" s="30">
        <f t="shared" si="27"/>
        <v>4</v>
      </c>
      <c r="J111" s="110" t="s">
        <v>124</v>
      </c>
      <c r="L111" t="s">
        <v>217</v>
      </c>
      <c r="M111" t="s">
        <v>57</v>
      </c>
      <c r="N111" t="s">
        <v>57</v>
      </c>
      <c r="O111" t="s">
        <v>57</v>
      </c>
      <c r="P111" t="s">
        <v>57</v>
      </c>
    </row>
    <row r="112" spans="1:16" hidden="1">
      <c r="A112" s="23" t="str">
        <f t="shared" si="24"/>
        <v>Q1 Shop 2</v>
      </c>
      <c r="B112" s="36" t="str">
        <f t="shared" si="22"/>
        <v>Q1</v>
      </c>
      <c r="C112" s="33">
        <f t="shared" si="23"/>
        <v>2</v>
      </c>
      <c r="D112" t="str">
        <f t="shared" si="18"/>
        <v>Lexus of Madison</v>
      </c>
      <c r="E112" t="str">
        <f>IF($J112="","",IFERROR(VLOOKUP($J112,KEY!$D$6:$F$76,3,FALSE),""))</f>
        <v/>
      </c>
      <c r="F112" t="str">
        <f>IF($J112="","",IFERROR(VLOOKUP($J112,KEY!$D$6:$F$76,2,FALSE),""))</f>
        <v/>
      </c>
      <c r="G112" t="str">
        <f t="shared" si="25"/>
        <v>Q1 Shop 2_Lexus of Madison</v>
      </c>
      <c r="H112" s="30">
        <f t="shared" si="26"/>
        <v>4</v>
      </c>
      <c r="I112" s="30">
        <f t="shared" si="27"/>
        <v>2</v>
      </c>
      <c r="J112" s="110" t="s">
        <v>218</v>
      </c>
      <c r="L112" t="s">
        <v>219</v>
      </c>
      <c r="M112" t="s">
        <v>57</v>
      </c>
      <c r="N112" t="s">
        <v>56</v>
      </c>
      <c r="O112" t="s">
        <v>57</v>
      </c>
      <c r="P112" t="s">
        <v>56</v>
      </c>
    </row>
    <row r="113" spans="1:16" hidden="1">
      <c r="A113" s="23" t="str">
        <f t="shared" si="24"/>
        <v>Q1 Shop 2</v>
      </c>
      <c r="B113" s="36" t="str">
        <f t="shared" si="22"/>
        <v>Q1</v>
      </c>
      <c r="C113" s="33">
        <f t="shared" si="23"/>
        <v>2</v>
      </c>
      <c r="D113" t="str">
        <f t="shared" si="18"/>
        <v>Lexus San Diego</v>
      </c>
      <c r="E113" t="str">
        <f>IF($J113="","",IFERROR(VLOOKUP($J113,KEY!$D$6:$F$76,3,FALSE),""))</f>
        <v>Southern California</v>
      </c>
      <c r="F113" t="str">
        <f>IF($J113="","",IFERROR(VLOOKUP($J113,KEY!$D$6:$F$76,2,FALSE),""))</f>
        <v>Lexus</v>
      </c>
      <c r="G113" t="str">
        <f t="shared" si="25"/>
        <v>Q1 Shop 2_Lexus San Diego</v>
      </c>
      <c r="H113" s="30">
        <f t="shared" si="26"/>
        <v>4</v>
      </c>
      <c r="I113" s="30">
        <f t="shared" si="27"/>
        <v>4</v>
      </c>
      <c r="J113" s="110" t="s">
        <v>126</v>
      </c>
      <c r="L113" t="s">
        <v>220</v>
      </c>
      <c r="M113" t="s">
        <v>57</v>
      </c>
      <c r="N113" t="s">
        <v>57</v>
      </c>
      <c r="O113" t="s">
        <v>57</v>
      </c>
      <c r="P113" t="s">
        <v>57</v>
      </c>
    </row>
    <row r="114" spans="1:16" hidden="1">
      <c r="A114" s="23" t="str">
        <f t="shared" si="24"/>
        <v>Q1 Shop 2</v>
      </c>
      <c r="B114" s="36" t="str">
        <f t="shared" si="22"/>
        <v>Q1</v>
      </c>
      <c r="C114" s="33">
        <f t="shared" si="23"/>
        <v>2</v>
      </c>
      <c r="D114" t="str">
        <f t="shared" si="18"/>
        <v>Lincoln South Coast</v>
      </c>
      <c r="E114" t="str">
        <f>IF($J114="","",IFERROR(VLOOKUP($J114,KEY!$D$6:$F$76,3,FALSE),""))</f>
        <v>Orange County</v>
      </c>
      <c r="F114" t="str">
        <f>IF($J114="","",IFERROR(VLOOKUP($J114,KEY!$D$6:$F$76,2,FALSE),""))</f>
        <v>Lincoln</v>
      </c>
      <c r="G114" t="str">
        <f t="shared" si="25"/>
        <v>Q1 Shop 2_Lincoln South Coast</v>
      </c>
      <c r="H114" s="30">
        <f t="shared" si="26"/>
        <v>4</v>
      </c>
      <c r="I114" s="30">
        <f t="shared" si="27"/>
        <v>4</v>
      </c>
      <c r="J114" s="110" t="s">
        <v>128</v>
      </c>
      <c r="L114" t="s">
        <v>221</v>
      </c>
      <c r="M114" t="s">
        <v>57</v>
      </c>
      <c r="N114" t="s">
        <v>57</v>
      </c>
      <c r="O114" t="s">
        <v>57</v>
      </c>
      <c r="P114" t="s">
        <v>57</v>
      </c>
    </row>
    <row r="115" spans="1:16" hidden="1">
      <c r="A115" s="23" t="str">
        <f t="shared" si="24"/>
        <v>Q1 Shop 2</v>
      </c>
      <c r="B115" s="36" t="str">
        <f t="shared" si="22"/>
        <v>Q1</v>
      </c>
      <c r="C115" s="33">
        <f t="shared" si="23"/>
        <v>2</v>
      </c>
      <c r="D115" t="str">
        <f t="shared" si="18"/>
        <v>Mazda of Escondido</v>
      </c>
      <c r="E115" t="str">
        <f>IF($J115="","",IFERROR(VLOOKUP($J115,KEY!$D$6:$F$76,3,FALSE),""))</f>
        <v>Southern California</v>
      </c>
      <c r="F115" t="str">
        <f>IF($J115="","",IFERROR(VLOOKUP($J115,KEY!$D$6:$F$76,2,FALSE),""))</f>
        <v>Mazda</v>
      </c>
      <c r="G115" t="str">
        <f t="shared" si="25"/>
        <v>Q1 Shop 2_Mazda of Escondido</v>
      </c>
      <c r="H115" s="30">
        <f t="shared" si="26"/>
        <v>4</v>
      </c>
      <c r="I115" s="30">
        <f t="shared" si="27"/>
        <v>2</v>
      </c>
      <c r="J115" s="110" t="s">
        <v>130</v>
      </c>
      <c r="L115" t="s">
        <v>222</v>
      </c>
      <c r="M115" t="s">
        <v>57</v>
      </c>
      <c r="N115" t="s">
        <v>56</v>
      </c>
      <c r="O115" t="s">
        <v>57</v>
      </c>
      <c r="P115" t="s">
        <v>56</v>
      </c>
    </row>
    <row r="116" spans="1:16" hidden="1">
      <c r="A116" s="23" t="str">
        <f t="shared" si="24"/>
        <v>Q1 Shop 2</v>
      </c>
      <c r="B116" s="36" t="str">
        <f t="shared" si="22"/>
        <v>Q1</v>
      </c>
      <c r="C116" s="33">
        <f t="shared" si="23"/>
        <v>2</v>
      </c>
      <c r="D116" t="str">
        <f t="shared" si="18"/>
        <v>Mercedes-Benz of Chandler</v>
      </c>
      <c r="E116" t="str">
        <f>IF($J116="","",IFERROR(VLOOKUP($J116,KEY!$D$6:$F$76,3,FALSE),""))</f>
        <v>Arizona</v>
      </c>
      <c r="F116" t="str">
        <f>IF($J116="","",IFERROR(VLOOKUP($J116,KEY!$D$6:$F$76,2,FALSE),""))</f>
        <v>Mercedes-Benz</v>
      </c>
      <c r="G116" t="str">
        <f t="shared" si="25"/>
        <v>Q1 Shop 2_Mercedes-Benz of Chandler</v>
      </c>
      <c r="H116" s="30">
        <f t="shared" si="26"/>
        <v>4</v>
      </c>
      <c r="I116" s="30">
        <f t="shared" si="27"/>
        <v>4</v>
      </c>
      <c r="J116" s="110" t="s">
        <v>132</v>
      </c>
      <c r="L116" t="s">
        <v>223</v>
      </c>
      <c r="M116" t="s">
        <v>57</v>
      </c>
      <c r="N116" t="s">
        <v>57</v>
      </c>
      <c r="O116" t="s">
        <v>57</v>
      </c>
      <c r="P116" t="s">
        <v>57</v>
      </c>
    </row>
    <row r="117" spans="1:16" hidden="1">
      <c r="A117" s="23" t="str">
        <f t="shared" si="24"/>
        <v>Q1 Shop 2</v>
      </c>
      <c r="B117" s="36" t="str">
        <f t="shared" si="22"/>
        <v>Q1</v>
      </c>
      <c r="C117" s="33">
        <f t="shared" si="23"/>
        <v>2</v>
      </c>
      <c r="D117" t="str">
        <f t="shared" si="18"/>
        <v>Mercedes-Benz of North Scottsdale</v>
      </c>
      <c r="E117" t="str">
        <f>IF($J117="","",IFERROR(VLOOKUP($J117,KEY!$D$6:$F$76,3,FALSE),""))</f>
        <v>Arizona</v>
      </c>
      <c r="F117" t="str">
        <f>IF($J117="","",IFERROR(VLOOKUP($J117,KEY!$D$6:$F$76,2,FALSE),""))</f>
        <v>Mercedes-Benz</v>
      </c>
      <c r="G117" t="str">
        <f t="shared" si="25"/>
        <v>Q1 Shop 2_Mercedes-Benz of North Scottsdale</v>
      </c>
      <c r="H117" s="30">
        <f t="shared" si="26"/>
        <v>4</v>
      </c>
      <c r="I117" s="30">
        <f t="shared" si="27"/>
        <v>4</v>
      </c>
      <c r="J117" s="110" t="s">
        <v>134</v>
      </c>
      <c r="L117" t="s">
        <v>224</v>
      </c>
      <c r="M117" t="s">
        <v>57</v>
      </c>
      <c r="N117" t="s">
        <v>57</v>
      </c>
      <c r="O117" t="s">
        <v>57</v>
      </c>
      <c r="P117" t="s">
        <v>57</v>
      </c>
    </row>
    <row r="118" spans="1:16" hidden="1">
      <c r="A118" s="23" t="str">
        <f t="shared" si="24"/>
        <v>Q1 Shop 2</v>
      </c>
      <c r="B118" s="36" t="str">
        <f t="shared" si="22"/>
        <v>Q1</v>
      </c>
      <c r="C118" s="33">
        <f t="shared" si="23"/>
        <v>2</v>
      </c>
      <c r="D118" t="str">
        <f t="shared" si="18"/>
        <v>Mercedes-Benz of San Diego</v>
      </c>
      <c r="E118" t="str">
        <f>IF($J118="","",IFERROR(VLOOKUP($J118,KEY!$D$6:$F$76,3,FALSE),""))</f>
        <v>Southern California</v>
      </c>
      <c r="F118" t="str">
        <f>IF($J118="","",IFERROR(VLOOKUP($J118,KEY!$D$6:$F$76,2,FALSE),""))</f>
        <v>Mercedes-Benz</v>
      </c>
      <c r="G118" t="str">
        <f t="shared" si="25"/>
        <v>Q1 Shop 2_Mercedes-Benz of San Diego</v>
      </c>
      <c r="H118" s="30">
        <f t="shared" si="26"/>
        <v>0</v>
      </c>
      <c r="I118" s="30">
        <f t="shared" si="27"/>
        <v>0</v>
      </c>
      <c r="J118" s="110" t="s">
        <v>136</v>
      </c>
      <c r="L118" t="s">
        <v>225</v>
      </c>
    </row>
    <row r="119" spans="1:16" hidden="1">
      <c r="A119" s="23" t="str">
        <f t="shared" si="24"/>
        <v>Q1 Shop 2</v>
      </c>
      <c r="B119" s="36" t="str">
        <f t="shared" si="22"/>
        <v>Q1</v>
      </c>
      <c r="C119" s="33">
        <f t="shared" si="23"/>
        <v>2</v>
      </c>
      <c r="D119" t="str">
        <f t="shared" si="18"/>
        <v>MINI North Scottsdale</v>
      </c>
      <c r="E119" t="str">
        <f>IF($J119="","",IFERROR(VLOOKUP($J119,KEY!$D$6:$F$76,3,FALSE),""))</f>
        <v>Arizona</v>
      </c>
      <c r="F119" t="str">
        <f>IF($J119="","",IFERROR(VLOOKUP($J119,KEY!$D$6:$F$76,2,FALSE),""))</f>
        <v>MINI</v>
      </c>
      <c r="G119" t="str">
        <f t="shared" si="25"/>
        <v>Q1 Shop 2_MINI North Scottsdale</v>
      </c>
      <c r="H119" s="30">
        <f t="shared" si="26"/>
        <v>4</v>
      </c>
      <c r="I119" s="30">
        <f t="shared" si="27"/>
        <v>4</v>
      </c>
      <c r="J119" s="110" t="s">
        <v>138</v>
      </c>
      <c r="L119" t="s">
        <v>226</v>
      </c>
      <c r="M119" t="s">
        <v>57</v>
      </c>
      <c r="N119" t="s">
        <v>57</v>
      </c>
      <c r="O119" t="s">
        <v>57</v>
      </c>
      <c r="P119" t="s">
        <v>57</v>
      </c>
    </row>
    <row r="120" spans="1:16" hidden="1">
      <c r="A120" s="23" t="str">
        <f t="shared" si="24"/>
        <v>Q1 Shop 2</v>
      </c>
      <c r="B120" s="36" t="str">
        <f t="shared" si="22"/>
        <v>Q1</v>
      </c>
      <c r="C120" s="33">
        <f t="shared" si="23"/>
        <v>2</v>
      </c>
      <c r="D120" t="str">
        <f t="shared" si="18"/>
        <v>MINI of Austin</v>
      </c>
      <c r="E120" t="str">
        <f>IF($J120="","",IFERROR(VLOOKUP($J120,KEY!$D$6:$F$76,3,FALSE),""))</f>
        <v>Texas</v>
      </c>
      <c r="F120" t="str">
        <f>IF($J120="","",IFERROR(VLOOKUP($J120,KEY!$D$6:$F$76,2,FALSE),""))</f>
        <v>MINI</v>
      </c>
      <c r="G120" t="str">
        <f t="shared" si="25"/>
        <v>Q1 Shop 2_MINI of Austin</v>
      </c>
      <c r="H120" s="30">
        <f t="shared" si="26"/>
        <v>4</v>
      </c>
      <c r="I120" s="30">
        <f t="shared" si="27"/>
        <v>3</v>
      </c>
      <c r="J120" s="110" t="s">
        <v>140</v>
      </c>
      <c r="L120" t="s">
        <v>227</v>
      </c>
      <c r="M120" t="s">
        <v>57</v>
      </c>
      <c r="N120" t="s">
        <v>56</v>
      </c>
      <c r="O120" t="s">
        <v>57</v>
      </c>
      <c r="P120" t="s">
        <v>57</v>
      </c>
    </row>
    <row r="121" spans="1:16" hidden="1">
      <c r="A121" s="23" t="str">
        <f t="shared" si="24"/>
        <v>Q1 Shop 2</v>
      </c>
      <c r="B121" s="36" t="str">
        <f t="shared" si="22"/>
        <v>Q1</v>
      </c>
      <c r="C121" s="33">
        <f t="shared" si="23"/>
        <v>2</v>
      </c>
      <c r="D121" t="str">
        <f t="shared" si="18"/>
        <v>MINI of Marin</v>
      </c>
      <c r="E121" t="str">
        <f>IF($J121="","",IFERROR(VLOOKUP($J121,KEY!$D$6:$F$76,3,FALSE),""))</f>
        <v>Northern California</v>
      </c>
      <c r="F121" t="str">
        <f>IF($J121="","",IFERROR(VLOOKUP($J121,KEY!$D$6:$F$76,2,FALSE),""))</f>
        <v>MINI</v>
      </c>
      <c r="G121" t="str">
        <f t="shared" si="25"/>
        <v>Q1 Shop 2_MINI of Marin</v>
      </c>
      <c r="H121" s="30">
        <f t="shared" si="26"/>
        <v>4</v>
      </c>
      <c r="I121" s="30">
        <f t="shared" si="27"/>
        <v>3</v>
      </c>
      <c r="J121" s="110" t="s">
        <v>142</v>
      </c>
      <c r="L121" t="s">
        <v>228</v>
      </c>
      <c r="M121" t="s">
        <v>57</v>
      </c>
      <c r="N121" t="s">
        <v>56</v>
      </c>
      <c r="O121" t="s">
        <v>57</v>
      </c>
      <c r="P121" t="s">
        <v>57</v>
      </c>
    </row>
    <row r="122" spans="1:16" hidden="1">
      <c r="A122" s="23" t="str">
        <f t="shared" si="24"/>
        <v>Q1 Shop 2</v>
      </c>
      <c r="B122" s="36" t="str">
        <f t="shared" si="22"/>
        <v>Q1</v>
      </c>
      <c r="C122" s="33">
        <f t="shared" si="23"/>
        <v>2</v>
      </c>
      <c r="D122" t="str">
        <f t="shared" si="18"/>
        <v>MINI of Ontario</v>
      </c>
      <c r="E122" t="str">
        <f>IF($J122="","",IFERROR(VLOOKUP($J122,KEY!$D$6:$F$76,3,FALSE),""))</f>
        <v>Orange County</v>
      </c>
      <c r="F122" t="str">
        <f>IF($J122="","",IFERROR(VLOOKUP($J122,KEY!$D$6:$F$76,2,FALSE),""))</f>
        <v>MINI</v>
      </c>
      <c r="G122" t="str">
        <f t="shared" si="25"/>
        <v>Q1 Shop 2_MINI of Ontario</v>
      </c>
      <c r="H122" s="30">
        <f t="shared" si="26"/>
        <v>4</v>
      </c>
      <c r="I122" s="30">
        <f t="shared" si="27"/>
        <v>4</v>
      </c>
      <c r="J122" s="110" t="s">
        <v>144</v>
      </c>
      <c r="L122" t="s">
        <v>229</v>
      </c>
      <c r="M122" t="s">
        <v>57</v>
      </c>
      <c r="N122" t="s">
        <v>57</v>
      </c>
      <c r="O122" t="s">
        <v>57</v>
      </c>
      <c r="P122" t="s">
        <v>57</v>
      </c>
    </row>
    <row r="123" spans="1:16" hidden="1">
      <c r="A123" s="23" t="str">
        <f t="shared" si="24"/>
        <v>Q1 Shop 2</v>
      </c>
      <c r="B123" s="36" t="str">
        <f t="shared" si="22"/>
        <v>Q1</v>
      </c>
      <c r="C123" s="33">
        <f t="shared" si="23"/>
        <v>2</v>
      </c>
      <c r="D123" t="str">
        <f t="shared" si="18"/>
        <v>MINI of San Diego</v>
      </c>
      <c r="E123" t="str">
        <f>IF($J123="","",IFERROR(VLOOKUP($J123,KEY!$D$6:$F$76,3,FALSE),""))</f>
        <v>Southern California</v>
      </c>
      <c r="F123" t="str">
        <f>IF($J123="","",IFERROR(VLOOKUP($J123,KEY!$D$6:$F$76,2,FALSE),""))</f>
        <v>MINI</v>
      </c>
      <c r="G123" t="str">
        <f t="shared" si="25"/>
        <v>Q1 Shop 2_MINI of San Diego</v>
      </c>
      <c r="H123" s="30">
        <f t="shared" si="26"/>
        <v>4</v>
      </c>
      <c r="I123" s="30">
        <f t="shared" si="27"/>
        <v>2</v>
      </c>
      <c r="J123" s="110" t="s">
        <v>146</v>
      </c>
      <c r="L123" t="s">
        <v>230</v>
      </c>
      <c r="M123" t="s">
        <v>57</v>
      </c>
      <c r="N123" t="s">
        <v>56</v>
      </c>
      <c r="O123" t="s">
        <v>57</v>
      </c>
      <c r="P123" t="s">
        <v>56</v>
      </c>
    </row>
    <row r="124" spans="1:16" hidden="1">
      <c r="A124" s="23" t="str">
        <f t="shared" si="24"/>
        <v>Q1 Shop 2</v>
      </c>
      <c r="B124" s="36" t="str">
        <f t="shared" si="22"/>
        <v>Q1</v>
      </c>
      <c r="C124" s="33">
        <f t="shared" si="23"/>
        <v>2</v>
      </c>
      <c r="D124" t="str">
        <f t="shared" si="18"/>
        <v>MINI of Tempe</v>
      </c>
      <c r="E124" t="str">
        <f>IF($J124="","",IFERROR(VLOOKUP($J124,KEY!$D$6:$F$76,3,FALSE),""))</f>
        <v>Arizona</v>
      </c>
      <c r="F124" t="str">
        <f>IF($J124="","",IFERROR(VLOOKUP($J124,KEY!$D$6:$F$76,2,FALSE),""))</f>
        <v>MINI</v>
      </c>
      <c r="G124" t="str">
        <f t="shared" si="25"/>
        <v>Q1 Shop 2_MINI of Tempe</v>
      </c>
      <c r="H124" s="30">
        <f t="shared" si="26"/>
        <v>4</v>
      </c>
      <c r="I124" s="30">
        <f t="shared" si="27"/>
        <v>4</v>
      </c>
      <c r="J124" s="110" t="s">
        <v>148</v>
      </c>
      <c r="L124" t="s">
        <v>231</v>
      </c>
      <c r="M124" t="s">
        <v>57</v>
      </c>
      <c r="N124" t="s">
        <v>57</v>
      </c>
      <c r="O124" t="s">
        <v>57</v>
      </c>
      <c r="P124" t="s">
        <v>57</v>
      </c>
    </row>
    <row r="125" spans="1:16" hidden="1">
      <c r="A125" s="23" t="str">
        <f t="shared" si="24"/>
        <v>Q1 Shop 2</v>
      </c>
      <c r="B125" s="36" t="str">
        <f t="shared" si="22"/>
        <v>Q1</v>
      </c>
      <c r="C125" s="33">
        <f t="shared" si="23"/>
        <v>2</v>
      </c>
      <c r="D125" t="str">
        <f t="shared" si="18"/>
        <v>Motorwerks BMW</v>
      </c>
      <c r="E125" t="str">
        <f>IF($J125="","",IFERROR(VLOOKUP($J125,KEY!$D$6:$F$76,3,FALSE),""))</f>
        <v>Michigan &amp; Minnesota</v>
      </c>
      <c r="F125" t="str">
        <f>IF($J125="","",IFERROR(VLOOKUP($J125,KEY!$D$6:$F$76,2,FALSE),""))</f>
        <v>BMW</v>
      </c>
      <c r="G125" t="str">
        <f t="shared" si="25"/>
        <v>Q1 Shop 2_Motorwerks BMW</v>
      </c>
      <c r="H125" s="30">
        <f t="shared" si="26"/>
        <v>4</v>
      </c>
      <c r="I125" s="30">
        <f t="shared" si="27"/>
        <v>2</v>
      </c>
      <c r="J125" s="110" t="s">
        <v>150</v>
      </c>
      <c r="L125" t="s">
        <v>232</v>
      </c>
      <c r="M125" t="s">
        <v>57</v>
      </c>
      <c r="N125" t="s">
        <v>56</v>
      </c>
      <c r="O125" t="s">
        <v>57</v>
      </c>
      <c r="P125" t="s">
        <v>56</v>
      </c>
    </row>
    <row r="126" spans="1:16" hidden="1">
      <c r="A126" s="23" t="str">
        <f t="shared" si="24"/>
        <v>Q1 Shop 2</v>
      </c>
      <c r="B126" s="36" t="str">
        <f t="shared" si="22"/>
        <v>Q1</v>
      </c>
      <c r="C126" s="33">
        <f t="shared" si="23"/>
        <v>2</v>
      </c>
      <c r="D126" t="str">
        <f t="shared" si="18"/>
        <v>Motorwerks MINI</v>
      </c>
      <c r="E126" t="str">
        <f>IF($J126="","",IFERROR(VLOOKUP($J126,KEY!$D$6:$F$76,3,FALSE),""))</f>
        <v>Michigan &amp; Minnesota</v>
      </c>
      <c r="F126" t="str">
        <f>IF($J126="","",IFERROR(VLOOKUP($J126,KEY!$D$6:$F$76,2,FALSE),""))</f>
        <v>MINI</v>
      </c>
      <c r="G126" t="str">
        <f t="shared" si="25"/>
        <v>Q1 Shop 2_Motorwerks MINI</v>
      </c>
      <c r="H126" s="30">
        <f t="shared" si="26"/>
        <v>4</v>
      </c>
      <c r="I126" s="30">
        <f t="shared" si="27"/>
        <v>3</v>
      </c>
      <c r="J126" s="110" t="s">
        <v>152</v>
      </c>
      <c r="L126" t="s">
        <v>233</v>
      </c>
      <c r="M126" t="s">
        <v>56</v>
      </c>
      <c r="N126" t="s">
        <v>57</v>
      </c>
      <c r="O126" t="s">
        <v>57</v>
      </c>
      <c r="P126" t="s">
        <v>57</v>
      </c>
    </row>
    <row r="127" spans="1:16" hidden="1">
      <c r="A127" s="23" t="str">
        <f t="shared" si="24"/>
        <v>Q1 Shop 2</v>
      </c>
      <c r="B127" s="36" t="str">
        <f t="shared" si="22"/>
        <v>Q1</v>
      </c>
      <c r="C127" s="33">
        <f t="shared" si="23"/>
        <v>2</v>
      </c>
      <c r="D127" t="str">
        <f t="shared" si="18"/>
        <v>Penske Chevrolet</v>
      </c>
      <c r="E127" t="str">
        <f>IF($J127="","",IFERROR(VLOOKUP($J127,KEY!$D$6:$F$76,3,FALSE),""))</f>
        <v>Indiana</v>
      </c>
      <c r="F127" t="str">
        <f>IF($J127="","",IFERROR(VLOOKUP($J127,KEY!$D$6:$F$76,2,FALSE),""))</f>
        <v>Chevrolet</v>
      </c>
      <c r="G127" t="str">
        <f t="shared" si="25"/>
        <v>Q1 Shop 2_Penske Chevrolet</v>
      </c>
      <c r="H127" s="30">
        <f t="shared" si="26"/>
        <v>4</v>
      </c>
      <c r="I127" s="30">
        <f t="shared" si="27"/>
        <v>2</v>
      </c>
      <c r="J127" s="110" t="s">
        <v>154</v>
      </c>
      <c r="L127" t="s">
        <v>234</v>
      </c>
      <c r="M127" t="s">
        <v>57</v>
      </c>
      <c r="N127" t="s">
        <v>56</v>
      </c>
      <c r="O127" t="s">
        <v>57</v>
      </c>
      <c r="P127" t="s">
        <v>56</v>
      </c>
    </row>
    <row r="128" spans="1:16" hidden="1">
      <c r="A128" s="23" t="str">
        <f t="shared" si="24"/>
        <v>Q1 Shop 2</v>
      </c>
      <c r="B128" s="36" t="str">
        <f t="shared" si="22"/>
        <v>Q1</v>
      </c>
      <c r="C128" s="33">
        <f t="shared" si="23"/>
        <v>2</v>
      </c>
      <c r="D128" t="str">
        <f t="shared" si="18"/>
        <v>Penske Honda</v>
      </c>
      <c r="E128" t="str">
        <f>IF($J128="","",IFERROR(VLOOKUP($J128,KEY!$D$6:$F$76,3,FALSE),""))</f>
        <v>Indiana</v>
      </c>
      <c r="F128" t="str">
        <f>IF($J128="","",IFERROR(VLOOKUP($J128,KEY!$D$6:$F$76,2,FALSE),""))</f>
        <v>Honda</v>
      </c>
      <c r="G128" t="str">
        <f t="shared" si="25"/>
        <v>Q1 Shop 2_Penske Honda</v>
      </c>
      <c r="H128" s="30">
        <f t="shared" si="26"/>
        <v>4</v>
      </c>
      <c r="I128" s="30">
        <f t="shared" si="27"/>
        <v>3</v>
      </c>
      <c r="J128" s="110" t="s">
        <v>156</v>
      </c>
      <c r="L128" t="s">
        <v>235</v>
      </c>
      <c r="M128" t="s">
        <v>57</v>
      </c>
      <c r="N128" t="s">
        <v>56</v>
      </c>
      <c r="O128" t="s">
        <v>57</v>
      </c>
      <c r="P128" t="s">
        <v>57</v>
      </c>
    </row>
    <row r="129" spans="1:22" hidden="1">
      <c r="A129" s="23" t="str">
        <f t="shared" si="24"/>
        <v>Q1 Shop 2</v>
      </c>
      <c r="B129" s="36" t="str">
        <f t="shared" si="22"/>
        <v>Q1</v>
      </c>
      <c r="C129" s="33">
        <f t="shared" si="23"/>
        <v>2</v>
      </c>
      <c r="D129" t="str">
        <f t="shared" si="18"/>
        <v>Peter Pan BMW</v>
      </c>
      <c r="E129" t="str">
        <f>IF($J129="","",IFERROR(VLOOKUP($J129,KEY!$D$6:$F$76,3,FALSE),""))</f>
        <v>Northern California</v>
      </c>
      <c r="F129" t="str">
        <f>IF($J129="","",IFERROR(VLOOKUP($J129,KEY!$D$6:$F$76,2,FALSE),""))</f>
        <v>BMW</v>
      </c>
      <c r="G129" t="str">
        <f t="shared" si="25"/>
        <v>Q1 Shop 2_Peter Pan BMW</v>
      </c>
      <c r="H129" s="30">
        <f t="shared" si="26"/>
        <v>4</v>
      </c>
      <c r="I129" s="30">
        <f t="shared" si="27"/>
        <v>2</v>
      </c>
      <c r="J129" s="110" t="s">
        <v>158</v>
      </c>
      <c r="L129" t="s">
        <v>236</v>
      </c>
      <c r="M129" t="s">
        <v>56</v>
      </c>
      <c r="N129" t="s">
        <v>56</v>
      </c>
      <c r="O129" t="s">
        <v>57</v>
      </c>
      <c r="P129" t="s">
        <v>57</v>
      </c>
    </row>
    <row r="130" spans="1:22" hidden="1">
      <c r="A130" s="23" t="str">
        <f t="shared" si="24"/>
        <v>Q1 Shop 2</v>
      </c>
      <c r="B130" s="36" t="str">
        <f t="shared" si="22"/>
        <v>Q1</v>
      </c>
      <c r="C130" s="33">
        <f t="shared" si="23"/>
        <v>2</v>
      </c>
      <c r="D130" t="str">
        <f t="shared" si="18"/>
        <v>Porsche North Scottsdale</v>
      </c>
      <c r="E130" t="str">
        <f>IF($J130="","",IFERROR(VLOOKUP($J130,KEY!$D$6:$F$76,3,FALSE),""))</f>
        <v>Arizona</v>
      </c>
      <c r="F130" t="str">
        <f>IF($J130="","",IFERROR(VLOOKUP($J130,KEY!$D$6:$F$76,2,FALSE),""))</f>
        <v>Porsche</v>
      </c>
      <c r="G130" t="str">
        <f t="shared" si="25"/>
        <v>Q1 Shop 2_Porsche North Scottsdale</v>
      </c>
      <c r="H130" s="30">
        <f t="shared" si="26"/>
        <v>4</v>
      </c>
      <c r="I130" s="30">
        <f t="shared" si="27"/>
        <v>2</v>
      </c>
      <c r="J130" s="110" t="s">
        <v>160</v>
      </c>
      <c r="L130" t="s">
        <v>237</v>
      </c>
      <c r="M130" t="s">
        <v>57</v>
      </c>
      <c r="N130" t="s">
        <v>56</v>
      </c>
      <c r="O130" t="s">
        <v>56</v>
      </c>
      <c r="P130" t="s">
        <v>57</v>
      </c>
    </row>
    <row r="131" spans="1:22" hidden="1">
      <c r="A131" s="23" t="str">
        <f t="shared" si="24"/>
        <v>Q1 Shop 2</v>
      </c>
      <c r="B131" s="36" t="str">
        <f t="shared" si="22"/>
        <v>Q1</v>
      </c>
      <c r="C131" s="33">
        <f t="shared" si="23"/>
        <v>2</v>
      </c>
      <c r="D131" t="str">
        <f t="shared" si="18"/>
        <v>Porsche Stevens Creek</v>
      </c>
      <c r="E131" t="str">
        <f>IF($J131="","",IFERROR(VLOOKUP($J131,KEY!$D$6:$F$76,3,FALSE),""))</f>
        <v>Northern California</v>
      </c>
      <c r="F131" t="str">
        <f>IF($J131="","",IFERROR(VLOOKUP($J131,KEY!$D$6:$F$76,2,FALSE),""))</f>
        <v>Porsche</v>
      </c>
      <c r="G131" t="str">
        <f t="shared" si="25"/>
        <v>Q1 Shop 2_Porsche Stevens Creek</v>
      </c>
      <c r="H131" s="30">
        <f t="shared" si="26"/>
        <v>4</v>
      </c>
      <c r="I131" s="30">
        <f t="shared" si="27"/>
        <v>4</v>
      </c>
      <c r="J131" s="110" t="s">
        <v>162</v>
      </c>
      <c r="L131" t="s">
        <v>238</v>
      </c>
      <c r="M131" t="s">
        <v>57</v>
      </c>
      <c r="N131" t="s">
        <v>57</v>
      </c>
      <c r="O131" t="s">
        <v>57</v>
      </c>
      <c r="P131" t="s">
        <v>57</v>
      </c>
    </row>
    <row r="132" spans="1:22" hidden="1">
      <c r="A132" s="23" t="str">
        <f t="shared" si="24"/>
        <v>Q1 Shop 2</v>
      </c>
      <c r="B132" s="36" t="str">
        <f t="shared" si="22"/>
        <v>Q1</v>
      </c>
      <c r="C132" s="33">
        <f t="shared" si="23"/>
        <v>2</v>
      </c>
      <c r="D132" t="str">
        <f t="shared" si="18"/>
        <v>Round Rock Honda</v>
      </c>
      <c r="E132" t="str">
        <f>IF($J132="","",IFERROR(VLOOKUP($J132,KEY!$D$6:$F$76,3,FALSE),""))</f>
        <v>Texas</v>
      </c>
      <c r="F132" t="str">
        <f>IF($J132="","",IFERROR(VLOOKUP($J132,KEY!$D$6:$F$76,2,FALSE),""))</f>
        <v>Honda</v>
      </c>
      <c r="G132" t="str">
        <f t="shared" si="25"/>
        <v>Q1 Shop 2_Round Rock Honda</v>
      </c>
      <c r="H132" s="30">
        <f t="shared" si="26"/>
        <v>4</v>
      </c>
      <c r="I132" s="30">
        <f t="shared" si="27"/>
        <v>3</v>
      </c>
      <c r="J132" s="110" t="s">
        <v>164</v>
      </c>
      <c r="L132" t="s">
        <v>239</v>
      </c>
      <c r="M132" t="s">
        <v>57</v>
      </c>
      <c r="N132" t="s">
        <v>57</v>
      </c>
      <c r="O132" t="s">
        <v>57</v>
      </c>
      <c r="P132" t="s">
        <v>56</v>
      </c>
    </row>
    <row r="133" spans="1:22" hidden="1">
      <c r="A133" s="23" t="str">
        <f t="shared" si="24"/>
        <v>Q1 Shop 2</v>
      </c>
      <c r="B133" s="36" t="str">
        <f t="shared" si="22"/>
        <v>Q1</v>
      </c>
      <c r="C133" s="33">
        <f t="shared" si="23"/>
        <v>2</v>
      </c>
      <c r="D133" t="str">
        <f t="shared" si="18"/>
        <v>Round Rock Hyundai</v>
      </c>
      <c r="E133" t="str">
        <f>IF($J133="","",IFERROR(VLOOKUP($J133,KEY!$D$6:$F$76,3,FALSE),""))</f>
        <v>Texas</v>
      </c>
      <c r="F133" t="str">
        <f>IF($J133="","",IFERROR(VLOOKUP($J133,KEY!$D$6:$F$76,2,FALSE),""))</f>
        <v>Hyundai</v>
      </c>
      <c r="G133" t="str">
        <f t="shared" si="25"/>
        <v>Q1 Shop 2_Round Rock Hyundai</v>
      </c>
      <c r="H133" s="30">
        <f t="shared" si="26"/>
        <v>4</v>
      </c>
      <c r="I133" s="30">
        <f t="shared" si="27"/>
        <v>4</v>
      </c>
      <c r="J133" s="110" t="s">
        <v>166</v>
      </c>
      <c r="L133" t="s">
        <v>240</v>
      </c>
      <c r="M133" t="s">
        <v>57</v>
      </c>
      <c r="N133" t="s">
        <v>57</v>
      </c>
      <c r="O133" t="s">
        <v>57</v>
      </c>
      <c r="P133" t="s">
        <v>57</v>
      </c>
    </row>
    <row r="134" spans="1:22" hidden="1">
      <c r="A134" s="23" t="str">
        <f t="shared" si="24"/>
        <v>Q1 Shop 2</v>
      </c>
      <c r="B134" s="36" t="str">
        <f t="shared" si="22"/>
        <v>Q1</v>
      </c>
      <c r="C134" s="33">
        <f t="shared" si="23"/>
        <v>2</v>
      </c>
      <c r="D134" t="str">
        <f t="shared" si="18"/>
        <v>Round Rock Toyota</v>
      </c>
      <c r="E134" t="str">
        <f>IF($J134="","",IFERROR(VLOOKUP($J134,KEY!$D$6:$F$76,3,FALSE),""))</f>
        <v>Texas</v>
      </c>
      <c r="F134" t="str">
        <f>IF($J134="","",IFERROR(VLOOKUP($J134,KEY!$D$6:$F$76,2,FALSE),""))</f>
        <v>Toyota</v>
      </c>
      <c r="G134" t="str">
        <f t="shared" si="25"/>
        <v>Q1 Shop 2_Round Rock Toyota</v>
      </c>
      <c r="H134" s="30">
        <f t="shared" si="26"/>
        <v>4</v>
      </c>
      <c r="I134" s="30">
        <f t="shared" si="27"/>
        <v>2</v>
      </c>
      <c r="J134" s="110" t="s">
        <v>168</v>
      </c>
      <c r="L134" t="s">
        <v>241</v>
      </c>
      <c r="M134" t="s">
        <v>57</v>
      </c>
      <c r="N134" t="s">
        <v>56</v>
      </c>
      <c r="O134" t="s">
        <v>57</v>
      </c>
      <c r="P134" t="s">
        <v>56</v>
      </c>
    </row>
    <row r="135" spans="1:22" hidden="1">
      <c r="A135" s="23" t="str">
        <f t="shared" si="24"/>
        <v>Q1 Shop 2</v>
      </c>
      <c r="B135" s="36" t="str">
        <f t="shared" si="22"/>
        <v>Q1</v>
      </c>
      <c r="C135" s="33">
        <f t="shared" si="23"/>
        <v>2</v>
      </c>
      <c r="D135" t="str">
        <f t="shared" si="18"/>
        <v>Scottsdale Ferrari Maserati</v>
      </c>
      <c r="E135" t="str">
        <f>IF($J135="","",IFERROR(VLOOKUP($J135,KEY!$D$6:$F$76,3,FALSE),""))</f>
        <v>Arizona</v>
      </c>
      <c r="F135" t="str">
        <f>IF($J135="","",IFERROR(VLOOKUP($J135,KEY!$D$6:$F$76,2,FALSE),""))</f>
        <v>Ultra</v>
      </c>
      <c r="G135" t="str">
        <f t="shared" si="25"/>
        <v>Q1 Shop 2_Scottsdale Ferrari Maserati</v>
      </c>
      <c r="H135" s="30">
        <f t="shared" si="26"/>
        <v>4</v>
      </c>
      <c r="I135" s="30">
        <f t="shared" si="27"/>
        <v>2</v>
      </c>
      <c r="J135" s="110" t="s">
        <v>170</v>
      </c>
      <c r="L135" t="s">
        <v>242</v>
      </c>
      <c r="M135" t="s">
        <v>57</v>
      </c>
      <c r="N135" t="s">
        <v>56</v>
      </c>
      <c r="O135" t="s">
        <v>56</v>
      </c>
      <c r="P135" t="s">
        <v>57</v>
      </c>
    </row>
    <row r="136" spans="1:22" hidden="1">
      <c r="A136" s="23" t="str">
        <f t="shared" si="24"/>
        <v>Q1 Shop 2</v>
      </c>
      <c r="B136" s="36" t="str">
        <f t="shared" si="22"/>
        <v>Q1</v>
      </c>
      <c r="C136" s="33">
        <f t="shared" si="23"/>
        <v>2</v>
      </c>
      <c r="D136" t="str">
        <f t="shared" si="18"/>
        <v>Subaru Orange Coast</v>
      </c>
      <c r="E136" t="str">
        <f>IF($J136="","",IFERROR(VLOOKUP($J136,KEY!$D$6:$F$76,3,FALSE),""))</f>
        <v>Orange County</v>
      </c>
      <c r="F136" t="str">
        <f>IF($J136="","",IFERROR(VLOOKUP($J136,KEY!$D$6:$F$76,2,FALSE),""))</f>
        <v>Subaru</v>
      </c>
      <c r="G136" t="str">
        <f t="shared" si="25"/>
        <v>Q1 Shop 2_Subaru Orange Coast</v>
      </c>
      <c r="H136" s="30">
        <f t="shared" si="26"/>
        <v>4</v>
      </c>
      <c r="I136" s="30">
        <f t="shared" si="27"/>
        <v>4</v>
      </c>
      <c r="J136" s="110" t="s">
        <v>172</v>
      </c>
      <c r="L136" t="s">
        <v>243</v>
      </c>
      <c r="M136" t="s">
        <v>57</v>
      </c>
      <c r="N136" t="s">
        <v>57</v>
      </c>
      <c r="O136" t="s">
        <v>57</v>
      </c>
      <c r="P136" t="s">
        <v>57</v>
      </c>
    </row>
    <row r="137" spans="1:22" hidden="1">
      <c r="A137" s="23" t="str">
        <f t="shared" si="24"/>
        <v>Q1 Shop 2</v>
      </c>
      <c r="B137" s="36" t="str">
        <f t="shared" si="22"/>
        <v>Q1</v>
      </c>
      <c r="C137" s="33">
        <f t="shared" si="23"/>
        <v>2</v>
      </c>
      <c r="D137" t="str">
        <f t="shared" si="18"/>
        <v>Tempe Honda</v>
      </c>
      <c r="E137" t="str">
        <f>IF($J137="","",IFERROR(VLOOKUP($J137,KEY!$D$6:$F$76,3,FALSE),""))</f>
        <v>Arizona</v>
      </c>
      <c r="F137" t="str">
        <f>IF($J137="","",IFERROR(VLOOKUP($J137,KEY!$D$6:$F$76,2,FALSE),""))</f>
        <v>Honda</v>
      </c>
      <c r="G137" t="str">
        <f t="shared" si="25"/>
        <v>Q1 Shop 2_Tempe Honda</v>
      </c>
      <c r="H137" s="30">
        <f t="shared" si="26"/>
        <v>4</v>
      </c>
      <c r="I137" s="30">
        <f t="shared" si="27"/>
        <v>4</v>
      </c>
      <c r="J137" s="110" t="s">
        <v>174</v>
      </c>
      <c r="L137" t="s">
        <v>244</v>
      </c>
      <c r="M137" t="s">
        <v>57</v>
      </c>
      <c r="N137" t="s">
        <v>57</v>
      </c>
      <c r="O137" t="s">
        <v>57</v>
      </c>
      <c r="P137" t="s">
        <v>57</v>
      </c>
    </row>
    <row r="138" spans="1:22" hidden="1">
      <c r="A138" s="23" t="str">
        <f t="shared" si="24"/>
        <v>Q1 Shop 2</v>
      </c>
      <c r="B138" s="36" t="str">
        <f t="shared" si="22"/>
        <v>Q1</v>
      </c>
      <c r="C138" s="33">
        <f t="shared" si="23"/>
        <v>2</v>
      </c>
      <c r="D138" t="str">
        <f t="shared" ref="D138:D143" si="28">IF($J138="","",$J138)</f>
        <v>Toyota of Clovis</v>
      </c>
      <c r="E138" t="str">
        <f>IF($J138="","",IFERROR(VLOOKUP($J138,KEY!$D$6:$F$76,3,FALSE),""))</f>
        <v>Northern California</v>
      </c>
      <c r="F138" t="str">
        <f>IF($J138="","",IFERROR(VLOOKUP($J138,KEY!$D$6:$F$76,2,FALSE),""))</f>
        <v>Toyota</v>
      </c>
      <c r="G138" t="str">
        <f t="shared" si="25"/>
        <v>Q1 Shop 2_Toyota of Clovis</v>
      </c>
      <c r="H138" s="30">
        <f t="shared" ref="H138:H143" si="29">IF($J138="","",COUNTIF($M138:$V138,"*"))</f>
        <v>4</v>
      </c>
      <c r="I138" s="30">
        <f t="shared" ref="I138:I143" si="30">IF($J138="","",COUNTIF($M138:$V138,"YES*"))</f>
        <v>4</v>
      </c>
      <c r="J138" s="110" t="s">
        <v>176</v>
      </c>
      <c r="L138" t="s">
        <v>245</v>
      </c>
      <c r="M138" t="s">
        <v>57</v>
      </c>
      <c r="N138" t="s">
        <v>57</v>
      </c>
      <c r="O138" t="s">
        <v>57</v>
      </c>
      <c r="P138" t="s">
        <v>57</v>
      </c>
    </row>
    <row r="139" spans="1:22" hidden="1">
      <c r="A139" s="23" t="str">
        <f t="shared" si="24"/>
        <v>Q1 Shop 2</v>
      </c>
      <c r="B139" s="36" t="str">
        <f t="shared" ref="B139:C143" si="31">B138</f>
        <v>Q1</v>
      </c>
      <c r="C139" s="33">
        <f t="shared" si="31"/>
        <v>2</v>
      </c>
      <c r="D139" t="str">
        <f t="shared" si="28"/>
        <v/>
      </c>
      <c r="E139" t="str">
        <f>IF($J139="","",IFERROR(VLOOKUP($J139,KEY!$D$6:$F$76,3,FALSE),""))</f>
        <v/>
      </c>
      <c r="F139" t="str">
        <f>IF($J139="","",IFERROR(VLOOKUP($J139,KEY!$D$6:$F$76,2,FALSE),""))</f>
        <v/>
      </c>
      <c r="G139" t="str">
        <f t="shared" si="25"/>
        <v/>
      </c>
      <c r="H139" s="30" t="str">
        <f t="shared" si="29"/>
        <v/>
      </c>
      <c r="I139" s="30" t="str">
        <f t="shared" si="30"/>
        <v/>
      </c>
      <c r="J139" s="110"/>
    </row>
    <row r="140" spans="1:22" hidden="1">
      <c r="A140" s="23" t="str">
        <f t="shared" si="24"/>
        <v>Q1 Shop 2</v>
      </c>
      <c r="B140" s="36" t="str">
        <f t="shared" si="31"/>
        <v>Q1</v>
      </c>
      <c r="C140" s="33">
        <f t="shared" si="31"/>
        <v>2</v>
      </c>
      <c r="D140" t="str">
        <f t="shared" si="28"/>
        <v>Toyota of Surprise</v>
      </c>
      <c r="E140" t="str">
        <f>IF($J140="","",IFERROR(VLOOKUP($J140,KEY!$D$6:$F$76,3,FALSE),""))</f>
        <v>Arizona</v>
      </c>
      <c r="F140" t="str">
        <f>IF($J140="","",IFERROR(VLOOKUP($J140,KEY!$D$6:$F$76,2,FALSE),""))</f>
        <v>Toyota</v>
      </c>
      <c r="G140" t="str">
        <f t="shared" si="25"/>
        <v>Q1 Shop 2_Toyota of Surprise</v>
      </c>
      <c r="H140" s="30">
        <f t="shared" si="29"/>
        <v>4</v>
      </c>
      <c r="I140" s="30">
        <f t="shared" si="30"/>
        <v>4</v>
      </c>
      <c r="J140" s="110" t="s">
        <v>178</v>
      </c>
      <c r="L140" t="s">
        <v>246</v>
      </c>
      <c r="M140" t="s">
        <v>57</v>
      </c>
      <c r="N140" t="s">
        <v>57</v>
      </c>
      <c r="O140" t="s">
        <v>57</v>
      </c>
      <c r="P140" t="s">
        <v>57</v>
      </c>
    </row>
    <row r="141" spans="1:22" hidden="1">
      <c r="A141" s="23" t="str">
        <f t="shared" si="24"/>
        <v>Q1 Shop 2</v>
      </c>
      <c r="B141" s="36" t="str">
        <f t="shared" si="31"/>
        <v>Q1</v>
      </c>
      <c r="C141" s="33">
        <f t="shared" si="31"/>
        <v>2</v>
      </c>
      <c r="D141" t="str">
        <f t="shared" si="28"/>
        <v>Volkswagen North Scottsdale</v>
      </c>
      <c r="E141" t="str">
        <f>IF($J141="","",IFERROR(VLOOKUP($J141,KEY!$D$6:$F$76,3,FALSE),""))</f>
        <v>Arizona</v>
      </c>
      <c r="F141" t="str">
        <f>IF($J141="","",IFERROR(VLOOKUP($J141,KEY!$D$6:$F$76,2,FALSE),""))</f>
        <v>Volkswagen</v>
      </c>
      <c r="G141" t="str">
        <f t="shared" si="25"/>
        <v>Q1 Shop 2_Volkswagen North Scottsdale</v>
      </c>
      <c r="H141" s="30">
        <f t="shared" si="29"/>
        <v>4</v>
      </c>
      <c r="I141" s="30">
        <f t="shared" si="30"/>
        <v>2</v>
      </c>
      <c r="J141" s="110" t="s">
        <v>180</v>
      </c>
      <c r="L141" t="s">
        <v>247</v>
      </c>
      <c r="M141" t="s">
        <v>57</v>
      </c>
      <c r="N141" t="s">
        <v>56</v>
      </c>
      <c r="O141" t="s">
        <v>57</v>
      </c>
      <c r="P141" t="s">
        <v>56</v>
      </c>
    </row>
    <row r="142" spans="1:22" hidden="1">
      <c r="A142" s="23" t="str">
        <f t="shared" si="24"/>
        <v>Q1 Shop 2</v>
      </c>
      <c r="B142" s="36" t="str">
        <f t="shared" si="31"/>
        <v>Q1</v>
      </c>
      <c r="C142" s="33">
        <f t="shared" si="31"/>
        <v>2</v>
      </c>
      <c r="D142" t="str">
        <f t="shared" si="28"/>
        <v>Volkswagen South Coast</v>
      </c>
      <c r="E142" t="str">
        <f>IF($J142="","",IFERROR(VLOOKUP($J142,KEY!$D$6:$F$76,3,FALSE),""))</f>
        <v>Orange County</v>
      </c>
      <c r="F142" t="str">
        <f>IF($J142="","",IFERROR(VLOOKUP($J142,KEY!$D$6:$F$76,2,FALSE),""))</f>
        <v>Volkswagen</v>
      </c>
      <c r="G142" t="str">
        <f t="shared" si="25"/>
        <v>Q1 Shop 2_Volkswagen South Coast</v>
      </c>
      <c r="H142" s="30">
        <f t="shared" si="29"/>
        <v>4</v>
      </c>
      <c r="I142" s="30">
        <f t="shared" si="30"/>
        <v>3</v>
      </c>
      <c r="J142" s="110" t="s">
        <v>182</v>
      </c>
      <c r="L142" t="s">
        <v>248</v>
      </c>
      <c r="M142" t="s">
        <v>57</v>
      </c>
      <c r="N142" t="s">
        <v>56</v>
      </c>
      <c r="O142" t="s">
        <v>57</v>
      </c>
      <c r="P142" t="s">
        <v>57</v>
      </c>
    </row>
    <row r="143" spans="1:22" hidden="1">
      <c r="A143" s="23" t="str">
        <f t="shared" ref="A143" si="32">B143&amp;" Shop "&amp;C143</f>
        <v>Q1 Shop 2</v>
      </c>
      <c r="B143" s="36" t="str">
        <f t="shared" si="31"/>
        <v>Q1</v>
      </c>
      <c r="C143" s="33">
        <f t="shared" si="31"/>
        <v>2</v>
      </c>
      <c r="D143" t="str">
        <f t="shared" si="28"/>
        <v/>
      </c>
      <c r="E143" t="str">
        <f>IF($J143="","",IFERROR(VLOOKUP($J143,KEY!$D$6:$F$76,3,FALSE),""))</f>
        <v/>
      </c>
      <c r="F143" t="str">
        <f>IF($J143="","",IFERROR(VLOOKUP($J143,KEY!$D$6:$F$76,2,FALSE),""))</f>
        <v/>
      </c>
      <c r="G143" t="str">
        <f t="shared" ref="G143" si="33">IF($J143="","",A143&amp;"_"&amp;D143)</f>
        <v/>
      </c>
      <c r="H143" s="30" t="str">
        <f t="shared" si="29"/>
        <v/>
      </c>
      <c r="I143" s="30" t="str">
        <f t="shared" si="30"/>
        <v/>
      </c>
      <c r="J143" s="110"/>
    </row>
    <row r="144" spans="1:22" ht="8.1" hidden="1" customHeight="1">
      <c r="A144" s="32"/>
      <c r="B144" s="37"/>
      <c r="C144" s="38"/>
      <c r="D144" s="32"/>
      <c r="E144" s="32"/>
      <c r="F144" s="32"/>
      <c r="G144" s="32" t="str">
        <f>A144&amp;"_"&amp;D144</f>
        <v>_</v>
      </c>
      <c r="H144" s="32"/>
      <c r="I144" s="32"/>
      <c r="J144" s="111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</row>
    <row r="145" spans="1:16">
      <c r="A145" s="183" t="str">
        <f t="shared" ref="A145:A157" si="34">B145&amp;" Shop "&amp;C145</f>
        <v>Q2 Shop 1</v>
      </c>
      <c r="B145" s="36" t="s">
        <v>249</v>
      </c>
      <c r="C145" s="33">
        <v>1</v>
      </c>
      <c r="D145" t="str">
        <f t="shared" ref="D145:D208" si="35">IF($J145="","",$J145)</f>
        <v>Kearny Mesa Toyota</v>
      </c>
      <c r="E145" t="str">
        <f>IF($J145="","",IFERROR(VLOOKUP($J145,KEY!$D$6:$F$76,3,FALSE),""))</f>
        <v>Southern California</v>
      </c>
      <c r="F145" t="str">
        <f>IF($J145="","",IFERROR(VLOOKUP($J145,KEY!$D$6:$F$76,2,FALSE),""))</f>
        <v>Toyota</v>
      </c>
      <c r="G145" t="str">
        <f t="shared" ref="G145:G157" si="36">IF($J145="","",A145&amp;"_"&amp;D145)</f>
        <v>Q2 Shop 1_Kearny Mesa Toyota</v>
      </c>
      <c r="H145" s="30">
        <f t="shared" ref="H145:H176" si="37">IF($J145="","",COUNTIF($M145:$V145,"*"))</f>
        <v>4</v>
      </c>
      <c r="I145" s="30">
        <f t="shared" ref="I145:I176" si="38">IF($J145="","",COUNTIF($M145:$V145,"YES*"))</f>
        <v>3</v>
      </c>
      <c r="J145" s="110" t="s">
        <v>112</v>
      </c>
      <c r="L145" t="s">
        <v>250</v>
      </c>
      <c r="M145" t="s">
        <v>57</v>
      </c>
      <c r="N145" t="s">
        <v>57</v>
      </c>
      <c r="O145" t="s">
        <v>57</v>
      </c>
      <c r="P145" t="s">
        <v>56</v>
      </c>
    </row>
    <row r="146" spans="1:16">
      <c r="A146" s="183" t="str">
        <f t="shared" si="34"/>
        <v>Q2 Shop 1</v>
      </c>
      <c r="B146" s="36" t="str">
        <f t="shared" ref="B146:B209" si="39">B145</f>
        <v>Q2</v>
      </c>
      <c r="C146" s="33">
        <f t="shared" ref="C146:C209" si="40">C145</f>
        <v>1</v>
      </c>
      <c r="D146" t="str">
        <f t="shared" si="35"/>
        <v>Acura North Scottsdale</v>
      </c>
      <c r="E146" t="str">
        <f>IF($J146="","",IFERROR(VLOOKUP($J146,KEY!$D$6:$F$76,3,FALSE),""))</f>
        <v>Arizona</v>
      </c>
      <c r="F146" t="str">
        <f>IF($J146="","",IFERROR(VLOOKUP($J146,KEY!$D$6:$F$76,2,FALSE),""))</f>
        <v>Acura</v>
      </c>
      <c r="G146" t="str">
        <f t="shared" si="36"/>
        <v>Q2 Shop 1_Acura North Scottsdale</v>
      </c>
      <c r="H146" s="30">
        <f t="shared" si="37"/>
        <v>4</v>
      </c>
      <c r="I146" s="30">
        <f t="shared" si="38"/>
        <v>4</v>
      </c>
      <c r="J146" s="110" t="s">
        <v>35</v>
      </c>
      <c r="L146" t="s">
        <v>251</v>
      </c>
      <c r="M146" t="s">
        <v>57</v>
      </c>
      <c r="N146" t="s">
        <v>57</v>
      </c>
      <c r="O146" t="s">
        <v>57</v>
      </c>
      <c r="P146" t="s">
        <v>57</v>
      </c>
    </row>
    <row r="147" spans="1:16">
      <c r="A147" s="183" t="str">
        <f t="shared" si="34"/>
        <v>Q2 Shop 1</v>
      </c>
      <c r="B147" s="36" t="str">
        <f t="shared" si="39"/>
        <v>Q2</v>
      </c>
      <c r="C147" s="33">
        <f t="shared" si="40"/>
        <v>1</v>
      </c>
      <c r="D147" t="str">
        <f t="shared" si="35"/>
        <v>Audi Chandler</v>
      </c>
      <c r="E147" t="str">
        <f>IF($J147="","",IFERROR(VLOOKUP($J147,KEY!$D$6:$F$76,3,FALSE),""))</f>
        <v>Arizona</v>
      </c>
      <c r="F147" t="str">
        <f>IF($J147="","",IFERROR(VLOOKUP($J147,KEY!$D$6:$F$76,2,FALSE),""))</f>
        <v>Audi</v>
      </c>
      <c r="G147" t="str">
        <f t="shared" si="36"/>
        <v>Q2 Shop 1_Audi Chandler</v>
      </c>
      <c r="H147" s="30">
        <f t="shared" si="37"/>
        <v>4</v>
      </c>
      <c r="I147" s="30">
        <f t="shared" si="38"/>
        <v>3</v>
      </c>
      <c r="J147" s="110" t="s">
        <v>60</v>
      </c>
      <c r="L147" t="s">
        <v>252</v>
      </c>
      <c r="M147" t="s">
        <v>56</v>
      </c>
      <c r="N147" t="s">
        <v>57</v>
      </c>
      <c r="O147" t="s">
        <v>57</v>
      </c>
      <c r="P147" t="s">
        <v>57</v>
      </c>
    </row>
    <row r="148" spans="1:16">
      <c r="A148" s="183" t="str">
        <f t="shared" si="34"/>
        <v>Q2 Shop 1</v>
      </c>
      <c r="B148" s="36" t="str">
        <f t="shared" si="39"/>
        <v>Q2</v>
      </c>
      <c r="C148" s="33">
        <f t="shared" si="40"/>
        <v>1</v>
      </c>
      <c r="D148" t="str">
        <f t="shared" si="35"/>
        <v>Audi North Scottsdale</v>
      </c>
      <c r="E148" t="str">
        <f>IF($J148="","",IFERROR(VLOOKUP($J148,KEY!$D$6:$F$76,3,FALSE),""))</f>
        <v>Arizona</v>
      </c>
      <c r="F148" t="str">
        <f>IF($J148="","",IFERROR(VLOOKUP($J148,KEY!$D$6:$F$76,2,FALSE),""))</f>
        <v>Audi</v>
      </c>
      <c r="G148" t="str">
        <f t="shared" si="36"/>
        <v>Q2 Shop 1_Audi North Scottsdale</v>
      </c>
      <c r="H148" s="30">
        <f t="shared" si="37"/>
        <v>4</v>
      </c>
      <c r="I148" s="30">
        <f t="shared" si="38"/>
        <v>4</v>
      </c>
      <c r="J148" s="110" t="s">
        <v>66</v>
      </c>
      <c r="L148" t="s">
        <v>253</v>
      </c>
      <c r="M148" t="s">
        <v>57</v>
      </c>
      <c r="N148" t="s">
        <v>57</v>
      </c>
      <c r="O148" t="s">
        <v>57</v>
      </c>
      <c r="P148" t="s">
        <v>57</v>
      </c>
    </row>
    <row r="149" spans="1:16">
      <c r="A149" s="183" t="str">
        <f t="shared" si="34"/>
        <v>Q2 Shop 1</v>
      </c>
      <c r="B149" s="36" t="str">
        <f t="shared" si="39"/>
        <v>Q2</v>
      </c>
      <c r="C149" s="33">
        <f t="shared" si="40"/>
        <v>1</v>
      </c>
      <c r="D149" t="str">
        <f t="shared" si="35"/>
        <v>BMW North Scottsdale</v>
      </c>
      <c r="E149" t="str">
        <f>IF($J149="","",IFERROR(VLOOKUP($J149,KEY!$D$6:$F$76,3,FALSE),""))</f>
        <v>Arizona</v>
      </c>
      <c r="F149" t="str">
        <f>IF($J149="","",IFERROR(VLOOKUP($J149,KEY!$D$6:$F$76,2,FALSE),""))</f>
        <v>BMW</v>
      </c>
      <c r="G149" t="str">
        <f t="shared" si="36"/>
        <v>Q2 Shop 1_BMW North Scottsdale</v>
      </c>
      <c r="H149" s="30">
        <f t="shared" si="37"/>
        <v>4</v>
      </c>
      <c r="I149" s="30">
        <f t="shared" si="38"/>
        <v>4</v>
      </c>
      <c r="J149" s="110" t="s">
        <v>74</v>
      </c>
      <c r="L149" t="s">
        <v>254</v>
      </c>
      <c r="M149" t="s">
        <v>57</v>
      </c>
      <c r="N149" t="s">
        <v>57</v>
      </c>
      <c r="O149" t="s">
        <v>57</v>
      </c>
      <c r="P149" t="s">
        <v>57</v>
      </c>
    </row>
    <row r="150" spans="1:16">
      <c r="A150" s="183" t="str">
        <f t="shared" si="34"/>
        <v>Q2 Shop 1</v>
      </c>
      <c r="B150" s="36" t="str">
        <f t="shared" si="39"/>
        <v>Q2</v>
      </c>
      <c r="C150" s="33">
        <f t="shared" si="40"/>
        <v>1</v>
      </c>
      <c r="D150" t="str">
        <f t="shared" si="35"/>
        <v>Land Rover Chandler</v>
      </c>
      <c r="E150" t="str">
        <f>IF($J150="","",IFERROR(VLOOKUP($J150,KEY!$D$6:$F$76,3,FALSE),""))</f>
        <v>Arizona</v>
      </c>
      <c r="F150" t="str">
        <f>IF($J150="","",IFERROR(VLOOKUP($J150,KEY!$D$6:$F$76,2,FALSE),""))</f>
        <v>LR</v>
      </c>
      <c r="G150" t="str">
        <f t="shared" si="36"/>
        <v>Q2 Shop 1_Land Rover Chandler</v>
      </c>
      <c r="H150" s="30">
        <f t="shared" si="37"/>
        <v>4</v>
      </c>
      <c r="I150" s="30">
        <f t="shared" si="38"/>
        <v>4</v>
      </c>
      <c r="J150" s="110" t="s">
        <v>116</v>
      </c>
      <c r="L150" t="s">
        <v>255</v>
      </c>
      <c r="M150" t="s">
        <v>57</v>
      </c>
      <c r="N150" t="s">
        <v>57</v>
      </c>
      <c r="O150" t="s">
        <v>57</v>
      </c>
      <c r="P150" t="s">
        <v>57</v>
      </c>
    </row>
    <row r="151" spans="1:16">
      <c r="A151" s="183" t="str">
        <f t="shared" si="34"/>
        <v>Q2 Shop 1</v>
      </c>
      <c r="B151" s="36" t="str">
        <f t="shared" si="39"/>
        <v>Q2</v>
      </c>
      <c r="C151" s="33">
        <f t="shared" si="40"/>
        <v>1</v>
      </c>
      <c r="D151" t="str">
        <f t="shared" si="35"/>
        <v/>
      </c>
      <c r="E151" t="str">
        <f>IF($J151="","",IFERROR(VLOOKUP($J151,KEY!$D$6:$F$76,3,FALSE),""))</f>
        <v/>
      </c>
      <c r="F151" t="str">
        <f>IF($J151="","",IFERROR(VLOOKUP($J151,KEY!$D$6:$F$76,2,FALSE),""))</f>
        <v/>
      </c>
      <c r="G151" t="str">
        <f t="shared" si="36"/>
        <v/>
      </c>
      <c r="H151" s="30" t="str">
        <f t="shared" si="37"/>
        <v/>
      </c>
      <c r="I151" s="30" t="str">
        <f t="shared" si="38"/>
        <v/>
      </c>
      <c r="J151" s="184"/>
      <c r="K151" s="185"/>
      <c r="L151" s="185"/>
      <c r="M151" s="185"/>
      <c r="N151" s="185"/>
      <c r="O151" s="185"/>
      <c r="P151" s="185"/>
    </row>
    <row r="152" spans="1:16">
      <c r="A152" s="183" t="str">
        <f t="shared" si="34"/>
        <v>Q2 Shop 1</v>
      </c>
      <c r="B152" s="36" t="str">
        <f t="shared" si="39"/>
        <v>Q2</v>
      </c>
      <c r="C152" s="33">
        <f t="shared" si="40"/>
        <v>1</v>
      </c>
      <c r="D152" t="str">
        <f t="shared" si="35"/>
        <v>Lexus of Chandler</v>
      </c>
      <c r="E152" t="str">
        <f>IF($J152="","",IFERROR(VLOOKUP($J152,KEY!$D$6:$F$76,3,FALSE),""))</f>
        <v>Arizona</v>
      </c>
      <c r="F152" t="str">
        <f>IF($J152="","",IFERROR(VLOOKUP($J152,KEY!$D$6:$F$76,2,FALSE),""))</f>
        <v>Lexus</v>
      </c>
      <c r="G152" t="str">
        <f t="shared" si="36"/>
        <v>Q2 Shop 1_Lexus of Chandler</v>
      </c>
      <c r="H152" s="30">
        <f t="shared" si="37"/>
        <v>4</v>
      </c>
      <c r="I152" s="30">
        <f t="shared" si="38"/>
        <v>3</v>
      </c>
      <c r="J152" s="110" t="s">
        <v>122</v>
      </c>
      <c r="L152" t="s">
        <v>256</v>
      </c>
      <c r="M152" t="s">
        <v>57</v>
      </c>
      <c r="N152" t="s">
        <v>56</v>
      </c>
      <c r="O152" t="s">
        <v>57</v>
      </c>
      <c r="P152" t="s">
        <v>57</v>
      </c>
    </row>
    <row r="153" spans="1:16">
      <c r="A153" s="183" t="str">
        <f t="shared" si="34"/>
        <v>Q2 Shop 1</v>
      </c>
      <c r="B153" s="36" t="str">
        <f t="shared" si="39"/>
        <v>Q2</v>
      </c>
      <c r="C153" s="33">
        <f t="shared" si="40"/>
        <v>1</v>
      </c>
      <c r="D153" t="str">
        <f t="shared" si="35"/>
        <v>Mercedes-Benz of Chandler</v>
      </c>
      <c r="E153" t="str">
        <f>IF($J153="","",IFERROR(VLOOKUP($J153,KEY!$D$6:$F$76,3,FALSE),""))</f>
        <v>Arizona</v>
      </c>
      <c r="F153" t="str">
        <f>IF($J153="","",IFERROR(VLOOKUP($J153,KEY!$D$6:$F$76,2,FALSE),""))</f>
        <v>Mercedes-Benz</v>
      </c>
      <c r="G153" t="str">
        <f t="shared" si="36"/>
        <v>Q2 Shop 1_Mercedes-Benz of Chandler</v>
      </c>
      <c r="H153" s="30">
        <f t="shared" si="37"/>
        <v>4</v>
      </c>
      <c r="I153" s="30">
        <f t="shared" si="38"/>
        <v>4</v>
      </c>
      <c r="J153" s="110" t="s">
        <v>132</v>
      </c>
      <c r="L153" t="s">
        <v>257</v>
      </c>
      <c r="M153" t="s">
        <v>57</v>
      </c>
      <c r="N153" t="s">
        <v>57</v>
      </c>
      <c r="O153" t="s">
        <v>57</v>
      </c>
      <c r="P153" t="s">
        <v>57</v>
      </c>
    </row>
    <row r="154" spans="1:16">
      <c r="A154" s="183" t="str">
        <f t="shared" si="34"/>
        <v>Q2 Shop 1</v>
      </c>
      <c r="B154" s="36" t="str">
        <f t="shared" si="39"/>
        <v>Q2</v>
      </c>
      <c r="C154" s="33">
        <f t="shared" si="40"/>
        <v>1</v>
      </c>
      <c r="D154" t="str">
        <f t="shared" si="35"/>
        <v>Mercedes-Benz of North Scottsdale</v>
      </c>
      <c r="E154" t="str">
        <f>IF($J154="","",IFERROR(VLOOKUP($J154,KEY!$D$6:$F$76,3,FALSE),""))</f>
        <v>Arizona</v>
      </c>
      <c r="F154" t="str">
        <f>IF($J154="","",IFERROR(VLOOKUP($J154,KEY!$D$6:$F$76,2,FALSE),""))</f>
        <v>Mercedes-Benz</v>
      </c>
      <c r="G154" t="str">
        <f t="shared" si="36"/>
        <v>Q2 Shop 1_Mercedes-Benz of North Scottsdale</v>
      </c>
      <c r="H154" s="30">
        <f t="shared" si="37"/>
        <v>4</v>
      </c>
      <c r="I154" s="30">
        <f t="shared" si="38"/>
        <v>4</v>
      </c>
      <c r="J154" s="110" t="s">
        <v>134</v>
      </c>
      <c r="L154" t="s">
        <v>258</v>
      </c>
      <c r="M154" t="s">
        <v>57</v>
      </c>
      <c r="N154" t="s">
        <v>57</v>
      </c>
      <c r="O154" t="s">
        <v>57</v>
      </c>
      <c r="P154" t="s">
        <v>57</v>
      </c>
    </row>
    <row r="155" spans="1:16">
      <c r="A155" s="183" t="str">
        <f t="shared" si="34"/>
        <v>Q2 Shop 1</v>
      </c>
      <c r="B155" s="36" t="str">
        <f t="shared" si="39"/>
        <v>Q2</v>
      </c>
      <c r="C155" s="33">
        <f t="shared" si="40"/>
        <v>1</v>
      </c>
      <c r="D155" t="str">
        <f t="shared" si="35"/>
        <v>MINI North Scottsdale</v>
      </c>
      <c r="E155" t="str">
        <f>IF($J155="","",IFERROR(VLOOKUP($J155,KEY!$D$6:$F$76,3,FALSE),""))</f>
        <v>Arizona</v>
      </c>
      <c r="F155" t="str">
        <f>IF($J155="","",IFERROR(VLOOKUP($J155,KEY!$D$6:$F$76,2,FALSE),""))</f>
        <v>MINI</v>
      </c>
      <c r="G155" t="str">
        <f t="shared" si="36"/>
        <v>Q2 Shop 1_MINI North Scottsdale</v>
      </c>
      <c r="H155" s="30">
        <f t="shared" si="37"/>
        <v>4</v>
      </c>
      <c r="I155" s="30">
        <f t="shared" si="38"/>
        <v>3</v>
      </c>
      <c r="J155" s="110" t="s">
        <v>138</v>
      </c>
      <c r="L155" t="s">
        <v>259</v>
      </c>
      <c r="M155" t="s">
        <v>57</v>
      </c>
      <c r="N155" t="s">
        <v>56</v>
      </c>
      <c r="O155" t="s">
        <v>57</v>
      </c>
      <c r="P155" t="s">
        <v>57</v>
      </c>
    </row>
    <row r="156" spans="1:16">
      <c r="A156" s="183" t="str">
        <f t="shared" si="34"/>
        <v>Q2 Shop 1</v>
      </c>
      <c r="B156" s="36" t="str">
        <f t="shared" si="39"/>
        <v>Q2</v>
      </c>
      <c r="C156" s="33">
        <f t="shared" si="40"/>
        <v>1</v>
      </c>
      <c r="D156" t="str">
        <f t="shared" si="35"/>
        <v>MINI of Tempe</v>
      </c>
      <c r="E156" t="str">
        <f>IF($J156="","",IFERROR(VLOOKUP($J156,KEY!$D$6:$F$76,3,FALSE),""))</f>
        <v>Arizona</v>
      </c>
      <c r="F156" t="str">
        <f>IF($J156="","",IFERROR(VLOOKUP($J156,KEY!$D$6:$F$76,2,FALSE),""))</f>
        <v>MINI</v>
      </c>
      <c r="G156" t="str">
        <f t="shared" si="36"/>
        <v>Q2 Shop 1_MINI of Tempe</v>
      </c>
      <c r="H156" s="30">
        <f t="shared" si="37"/>
        <v>4</v>
      </c>
      <c r="I156" s="30">
        <f t="shared" si="38"/>
        <v>4</v>
      </c>
      <c r="J156" s="110" t="s">
        <v>148</v>
      </c>
      <c r="L156" t="s">
        <v>260</v>
      </c>
      <c r="M156" t="s">
        <v>57</v>
      </c>
      <c r="N156" t="s">
        <v>57</v>
      </c>
      <c r="O156" t="s">
        <v>57</v>
      </c>
      <c r="P156" t="s">
        <v>57</v>
      </c>
    </row>
    <row r="157" spans="1:16">
      <c r="A157" s="183" t="str">
        <f t="shared" si="34"/>
        <v>Q2 Shop 1</v>
      </c>
      <c r="B157" s="36" t="str">
        <f t="shared" si="39"/>
        <v>Q2</v>
      </c>
      <c r="C157" s="33">
        <f t="shared" si="40"/>
        <v>1</v>
      </c>
      <c r="D157" t="str">
        <f t="shared" si="35"/>
        <v>Porsche North Scottsdale</v>
      </c>
      <c r="E157" t="str">
        <f>IF($J157="","",IFERROR(VLOOKUP($J157,KEY!$D$6:$F$76,3,FALSE),""))</f>
        <v>Arizona</v>
      </c>
      <c r="F157" t="str">
        <f>IF($J157="","",IFERROR(VLOOKUP($J157,KEY!$D$6:$F$76,2,FALSE),""))</f>
        <v>Porsche</v>
      </c>
      <c r="G157" t="str">
        <f t="shared" si="36"/>
        <v>Q2 Shop 1_Porsche North Scottsdale</v>
      </c>
      <c r="H157" s="30">
        <f t="shared" si="37"/>
        <v>4</v>
      </c>
      <c r="I157" s="30">
        <f t="shared" si="38"/>
        <v>1</v>
      </c>
      <c r="J157" s="110" t="s">
        <v>160</v>
      </c>
      <c r="L157" t="s">
        <v>261</v>
      </c>
      <c r="M157" t="s">
        <v>56</v>
      </c>
      <c r="N157" t="s">
        <v>56</v>
      </c>
      <c r="O157" t="s">
        <v>57</v>
      </c>
      <c r="P157" t="s">
        <v>56</v>
      </c>
    </row>
    <row r="158" spans="1:16">
      <c r="A158" s="183" t="str">
        <f t="shared" ref="A158:A214" si="41">B158&amp;" Shop "&amp;C158</f>
        <v>Q2 Shop 1</v>
      </c>
      <c r="B158" s="36" t="str">
        <f t="shared" si="39"/>
        <v>Q2</v>
      </c>
      <c r="C158" s="33">
        <f t="shared" si="40"/>
        <v>1</v>
      </c>
      <c r="D158" t="str">
        <f t="shared" si="35"/>
        <v>Tempe Honda</v>
      </c>
      <c r="E158" t="str">
        <f>IF($J158="","",IFERROR(VLOOKUP($J158,KEY!$D$6:$F$76,3,FALSE),""))</f>
        <v>Arizona</v>
      </c>
      <c r="F158" t="str">
        <f>IF($J158="","",IFERROR(VLOOKUP($J158,KEY!$D$6:$F$76,2,FALSE),""))</f>
        <v>Honda</v>
      </c>
      <c r="G158" t="str">
        <f t="shared" ref="G158:G214" si="42">IF($J158="","",A158&amp;"_"&amp;D158)</f>
        <v>Q2 Shop 1_Tempe Honda</v>
      </c>
      <c r="H158" s="30">
        <f t="shared" si="37"/>
        <v>4</v>
      </c>
      <c r="I158" s="30">
        <f t="shared" si="38"/>
        <v>4</v>
      </c>
      <c r="J158" s="110" t="s">
        <v>174</v>
      </c>
      <c r="L158" t="s">
        <v>262</v>
      </c>
      <c r="M158" t="s">
        <v>57</v>
      </c>
      <c r="N158" t="s">
        <v>57</v>
      </c>
      <c r="O158" t="s">
        <v>57</v>
      </c>
      <c r="P158" t="s">
        <v>57</v>
      </c>
    </row>
    <row r="159" spans="1:16">
      <c r="A159" s="183" t="str">
        <f t="shared" si="41"/>
        <v>Q2 Shop 1</v>
      </c>
      <c r="B159" s="36" t="str">
        <f t="shared" si="39"/>
        <v>Q2</v>
      </c>
      <c r="C159" s="33">
        <f t="shared" si="40"/>
        <v>1</v>
      </c>
      <c r="D159" t="str">
        <f t="shared" si="35"/>
        <v>Toyota of Surprise</v>
      </c>
      <c r="E159" t="str">
        <f>IF($J159="","",IFERROR(VLOOKUP($J159,KEY!$D$6:$F$76,3,FALSE),""))</f>
        <v>Arizona</v>
      </c>
      <c r="F159" t="str">
        <f>IF($J159="","",IFERROR(VLOOKUP($J159,KEY!$D$6:$F$76,2,FALSE),""))</f>
        <v>Toyota</v>
      </c>
      <c r="G159" t="str">
        <f t="shared" si="42"/>
        <v>Q2 Shop 1_Toyota of Surprise</v>
      </c>
      <c r="H159" s="30">
        <f t="shared" si="37"/>
        <v>4</v>
      </c>
      <c r="I159" s="30">
        <f t="shared" si="38"/>
        <v>3</v>
      </c>
      <c r="J159" s="110" t="s">
        <v>178</v>
      </c>
      <c r="L159" t="s">
        <v>263</v>
      </c>
      <c r="M159" t="s">
        <v>57</v>
      </c>
      <c r="N159" t="s">
        <v>56</v>
      </c>
      <c r="O159" t="s">
        <v>57</v>
      </c>
      <c r="P159" t="s">
        <v>57</v>
      </c>
    </row>
    <row r="160" spans="1:16">
      <c r="A160" s="183" t="str">
        <f t="shared" si="41"/>
        <v>Q2 Shop 1</v>
      </c>
      <c r="B160" s="36" t="str">
        <f t="shared" si="39"/>
        <v>Q2</v>
      </c>
      <c r="C160" s="33">
        <f t="shared" si="40"/>
        <v>1</v>
      </c>
      <c r="D160" t="str">
        <f t="shared" si="35"/>
        <v>Volkswagen North Scottsdale</v>
      </c>
      <c r="E160" t="str">
        <f>IF($J160="","",IFERROR(VLOOKUP($J160,KEY!$D$6:$F$76,3,FALSE),""))</f>
        <v>Arizona</v>
      </c>
      <c r="F160" t="str">
        <f>IF($J160="","",IFERROR(VLOOKUP($J160,KEY!$D$6:$F$76,2,FALSE),""))</f>
        <v>Volkswagen</v>
      </c>
      <c r="G160" t="str">
        <f t="shared" si="42"/>
        <v>Q2 Shop 1_Volkswagen North Scottsdale</v>
      </c>
      <c r="H160" s="30">
        <f t="shared" si="37"/>
        <v>4</v>
      </c>
      <c r="I160" s="30">
        <f t="shared" si="38"/>
        <v>4</v>
      </c>
      <c r="J160" s="110" t="s">
        <v>180</v>
      </c>
      <c r="L160" t="s">
        <v>264</v>
      </c>
      <c r="M160" t="s">
        <v>57</v>
      </c>
      <c r="N160" t="s">
        <v>57</v>
      </c>
      <c r="O160" t="s">
        <v>57</v>
      </c>
      <c r="P160" t="s">
        <v>57</v>
      </c>
    </row>
    <row r="161" spans="1:16">
      <c r="A161" s="183" t="str">
        <f t="shared" si="41"/>
        <v>Q2 Shop 1</v>
      </c>
      <c r="B161" s="36" t="str">
        <f t="shared" si="39"/>
        <v>Q2</v>
      </c>
      <c r="C161" s="33">
        <f t="shared" si="40"/>
        <v>1</v>
      </c>
      <c r="D161" t="str">
        <f t="shared" si="35"/>
        <v>Audi Escondido</v>
      </c>
      <c r="E161" t="str">
        <f>IF($J161="","",IFERROR(VLOOKUP($J161,KEY!$D$6:$F$76,3,FALSE),""))</f>
        <v>Southern California</v>
      </c>
      <c r="F161" t="str">
        <f>IF($J161="","",IFERROR(VLOOKUP($J161,KEY!$D$6:$F$76,2,FALSE),""))</f>
        <v>Audi</v>
      </c>
      <c r="G161" t="str">
        <f t="shared" si="42"/>
        <v>Q2 Shop 1_Audi Escondido</v>
      </c>
      <c r="H161" s="30">
        <f t="shared" si="37"/>
        <v>4</v>
      </c>
      <c r="I161" s="30">
        <f t="shared" si="38"/>
        <v>2</v>
      </c>
      <c r="J161" s="110" t="s">
        <v>62</v>
      </c>
      <c r="L161" t="s">
        <v>265</v>
      </c>
      <c r="M161" t="s">
        <v>56</v>
      </c>
      <c r="N161" t="s">
        <v>56</v>
      </c>
      <c r="O161" t="s">
        <v>57</v>
      </c>
      <c r="P161" t="s">
        <v>57</v>
      </c>
    </row>
    <row r="162" spans="1:16">
      <c r="A162" s="183" t="str">
        <f t="shared" si="41"/>
        <v>Q2 Shop 1</v>
      </c>
      <c r="B162" s="36" t="str">
        <f t="shared" si="39"/>
        <v>Q2</v>
      </c>
      <c r="C162" s="33">
        <f t="shared" si="40"/>
        <v>1</v>
      </c>
      <c r="D162" t="str">
        <f t="shared" si="35"/>
        <v>Audi North OC</v>
      </c>
      <c r="E162" t="str">
        <f>IF($J162="","",IFERROR(VLOOKUP($J162,KEY!$D$6:$F$76,3,FALSE),""))</f>
        <v>Orange County</v>
      </c>
      <c r="F162" t="str">
        <f>IF($J162="","",IFERROR(VLOOKUP($J162,KEY!$D$6:$F$76,2,FALSE),""))</f>
        <v>Audi</v>
      </c>
      <c r="G162" t="str">
        <f t="shared" si="42"/>
        <v>Q2 Shop 1_Audi North OC</v>
      </c>
      <c r="H162" s="30">
        <f t="shared" si="37"/>
        <v>4</v>
      </c>
      <c r="I162" s="30">
        <f t="shared" si="38"/>
        <v>4</v>
      </c>
      <c r="J162" s="110" t="s">
        <v>64</v>
      </c>
      <c r="L162" t="s">
        <v>266</v>
      </c>
      <c r="M162" t="s">
        <v>57</v>
      </c>
      <c r="N162" t="s">
        <v>57</v>
      </c>
      <c r="O162" t="s">
        <v>57</v>
      </c>
      <c r="P162" t="s">
        <v>57</v>
      </c>
    </row>
    <row r="163" spans="1:16">
      <c r="A163" s="183" t="str">
        <f t="shared" si="41"/>
        <v>Q2 Shop 1</v>
      </c>
      <c r="B163" s="36" t="str">
        <f t="shared" si="39"/>
        <v>Q2</v>
      </c>
      <c r="C163" s="33">
        <f t="shared" si="40"/>
        <v>1</v>
      </c>
      <c r="D163" t="str">
        <f t="shared" si="35"/>
        <v>Audi San Jose</v>
      </c>
      <c r="E163" t="str">
        <f>IF($J163="","",IFERROR(VLOOKUP($J163,KEY!$D$6:$F$76,3,FALSE),""))</f>
        <v>Northern California</v>
      </c>
      <c r="F163" t="str">
        <f>IF($J163="","",IFERROR(VLOOKUP($J163,KEY!$D$6:$F$76,2,FALSE),""))</f>
        <v>Audi</v>
      </c>
      <c r="G163" t="str">
        <f t="shared" si="42"/>
        <v>Q2 Shop 1_Audi San Jose</v>
      </c>
      <c r="H163" s="30">
        <f t="shared" si="37"/>
        <v>4</v>
      </c>
      <c r="I163" s="30">
        <f t="shared" si="38"/>
        <v>4</v>
      </c>
      <c r="J163" s="110" t="s">
        <v>68</v>
      </c>
      <c r="L163" t="s">
        <v>267</v>
      </c>
      <c r="M163" t="s">
        <v>57</v>
      </c>
      <c r="N163" t="s">
        <v>57</v>
      </c>
      <c r="O163" t="s">
        <v>57</v>
      </c>
      <c r="P163" t="s">
        <v>57</v>
      </c>
    </row>
    <row r="164" spans="1:16">
      <c r="A164" s="183" t="str">
        <f t="shared" si="41"/>
        <v>Q2 Shop 1</v>
      </c>
      <c r="B164" s="36" t="str">
        <f t="shared" si="39"/>
        <v>Q2</v>
      </c>
      <c r="C164" s="33">
        <f t="shared" si="40"/>
        <v>1</v>
      </c>
      <c r="D164" t="str">
        <f t="shared" si="35"/>
        <v>Audi South Coast</v>
      </c>
      <c r="E164" t="str">
        <f>IF($J164="","",IFERROR(VLOOKUP($J164,KEY!$D$6:$F$76,3,FALSE),""))</f>
        <v>Orange County</v>
      </c>
      <c r="F164" t="str">
        <f>IF($J164="","",IFERROR(VLOOKUP($J164,KEY!$D$6:$F$76,2,FALSE),""))</f>
        <v>Audi</v>
      </c>
      <c r="G164" t="str">
        <f t="shared" si="42"/>
        <v>Q2 Shop 1_Audi South Coast</v>
      </c>
      <c r="H164" s="30">
        <f t="shared" si="37"/>
        <v>4</v>
      </c>
      <c r="I164" s="30">
        <f t="shared" si="38"/>
        <v>2</v>
      </c>
      <c r="J164" s="110" t="s">
        <v>70</v>
      </c>
      <c r="L164" t="s">
        <v>268</v>
      </c>
      <c r="M164" t="s">
        <v>56</v>
      </c>
      <c r="N164" t="s">
        <v>56</v>
      </c>
      <c r="O164" t="s">
        <v>57</v>
      </c>
      <c r="P164" t="s">
        <v>57</v>
      </c>
    </row>
    <row r="165" spans="1:16">
      <c r="A165" s="183" t="str">
        <f t="shared" si="41"/>
        <v>Q2 Shop 1</v>
      </c>
      <c r="B165" s="36" t="str">
        <f t="shared" si="39"/>
        <v>Q2</v>
      </c>
      <c r="C165" s="33">
        <f t="shared" si="40"/>
        <v>1</v>
      </c>
      <c r="D165" t="str">
        <f t="shared" si="35"/>
        <v>BMW of Ontario</v>
      </c>
      <c r="E165" t="str">
        <f>IF($J165="","",IFERROR(VLOOKUP($J165,KEY!$D$6:$F$76,3,FALSE),""))</f>
        <v>Orange County</v>
      </c>
      <c r="F165" t="str">
        <f>IF($J165="","",IFERROR(VLOOKUP($J165,KEY!$D$6:$F$76,2,FALSE),""))</f>
        <v>BMW</v>
      </c>
      <c r="G165" t="str">
        <f t="shared" si="42"/>
        <v>Q2 Shop 1_BMW of Ontario</v>
      </c>
      <c r="H165" s="30">
        <f t="shared" si="37"/>
        <v>4</v>
      </c>
      <c r="I165" s="30">
        <f t="shared" si="38"/>
        <v>3</v>
      </c>
      <c r="J165" s="110" t="s">
        <v>80</v>
      </c>
      <c r="L165" t="s">
        <v>269</v>
      </c>
      <c r="M165" t="s">
        <v>57</v>
      </c>
      <c r="N165" t="s">
        <v>57</v>
      </c>
      <c r="O165" t="s">
        <v>57</v>
      </c>
      <c r="P165" t="s">
        <v>56</v>
      </c>
    </row>
    <row r="166" spans="1:16">
      <c r="A166" s="183" t="str">
        <f t="shared" si="41"/>
        <v>Q2 Shop 1</v>
      </c>
      <c r="B166" s="36" t="str">
        <f t="shared" si="39"/>
        <v>Q2</v>
      </c>
      <c r="C166" s="33">
        <f t="shared" si="40"/>
        <v>1</v>
      </c>
      <c r="D166" t="str">
        <f t="shared" si="35"/>
        <v>BMW of San Diego</v>
      </c>
      <c r="E166" t="str">
        <f>IF($J166="","",IFERROR(VLOOKUP($J166,KEY!$D$6:$F$76,3,FALSE),""))</f>
        <v>Southern California</v>
      </c>
      <c r="F166" t="str">
        <f>IF($J166="","",IFERROR(VLOOKUP($J166,KEY!$D$6:$F$76,2,FALSE),""))</f>
        <v>BMW</v>
      </c>
      <c r="G166" t="str">
        <f t="shared" si="42"/>
        <v>Q2 Shop 1_BMW of San Diego</v>
      </c>
      <c r="H166" s="30">
        <f t="shared" si="37"/>
        <v>4</v>
      </c>
      <c r="I166" s="30">
        <f t="shared" si="38"/>
        <v>3</v>
      </c>
      <c r="J166" s="110" t="s">
        <v>82</v>
      </c>
      <c r="L166" t="s">
        <v>270</v>
      </c>
      <c r="M166" t="s">
        <v>57</v>
      </c>
      <c r="N166" t="s">
        <v>56</v>
      </c>
      <c r="O166" t="s">
        <v>57</v>
      </c>
      <c r="P166" t="s">
        <v>57</v>
      </c>
    </row>
    <row r="167" spans="1:16">
      <c r="A167" s="183" t="str">
        <f t="shared" si="41"/>
        <v>Q2 Shop 1</v>
      </c>
      <c r="B167" s="36" t="str">
        <f t="shared" si="39"/>
        <v>Q2</v>
      </c>
      <c r="C167" s="33">
        <f t="shared" si="40"/>
        <v>1</v>
      </c>
      <c r="D167" t="str">
        <f t="shared" si="35"/>
        <v>Capitol Acura</v>
      </c>
      <c r="E167" t="str">
        <f>IF($J167="","",IFERROR(VLOOKUP($J167,KEY!$D$6:$F$76,3,FALSE),""))</f>
        <v>Northern California</v>
      </c>
      <c r="F167" t="str">
        <f>IF($J167="","",IFERROR(VLOOKUP($J167,KEY!$D$6:$F$76,2,FALSE),""))</f>
        <v>Acura</v>
      </c>
      <c r="G167" t="str">
        <f t="shared" si="42"/>
        <v>Q2 Shop 1_Capitol Acura</v>
      </c>
      <c r="H167" s="30">
        <f t="shared" si="37"/>
        <v>4</v>
      </c>
      <c r="I167" s="30">
        <f t="shared" si="38"/>
        <v>3</v>
      </c>
      <c r="J167" s="110" t="s">
        <v>86</v>
      </c>
      <c r="L167" t="s">
        <v>271</v>
      </c>
      <c r="M167" t="s">
        <v>56</v>
      </c>
      <c r="N167" t="s">
        <v>57</v>
      </c>
      <c r="O167" t="s">
        <v>57</v>
      </c>
      <c r="P167" t="s">
        <v>57</v>
      </c>
    </row>
    <row r="168" spans="1:16">
      <c r="A168" s="183" t="str">
        <f t="shared" si="41"/>
        <v>Q2 Shop 1</v>
      </c>
      <c r="B168" s="36" t="str">
        <f t="shared" si="39"/>
        <v>Q2</v>
      </c>
      <c r="C168" s="33">
        <f t="shared" si="40"/>
        <v>1</v>
      </c>
      <c r="D168" t="str">
        <f t="shared" si="35"/>
        <v>Capitol Honda</v>
      </c>
      <c r="E168" t="str">
        <f>IF($J168="","",IFERROR(VLOOKUP($J168,KEY!$D$6:$F$76,3,FALSE),""))</f>
        <v>Northern California</v>
      </c>
      <c r="F168" t="str">
        <f>IF($J168="","",IFERROR(VLOOKUP($J168,KEY!$D$6:$F$76,2,FALSE),""))</f>
        <v>Honda</v>
      </c>
      <c r="G168" t="str">
        <f t="shared" si="42"/>
        <v>Q2 Shop 1_Capitol Honda</v>
      </c>
      <c r="H168" s="30">
        <f t="shared" si="37"/>
        <v>4</v>
      </c>
      <c r="I168" s="30">
        <f t="shared" si="38"/>
        <v>4</v>
      </c>
      <c r="J168" s="110" t="s">
        <v>88</v>
      </c>
      <c r="L168" t="s">
        <v>272</v>
      </c>
      <c r="M168" t="s">
        <v>57</v>
      </c>
      <c r="N168" t="s">
        <v>57</v>
      </c>
      <c r="O168" t="s">
        <v>57</v>
      </c>
      <c r="P168" t="s">
        <v>57</v>
      </c>
    </row>
    <row r="169" spans="1:16">
      <c r="A169" s="183" t="str">
        <f t="shared" si="41"/>
        <v>Q2 Shop 1</v>
      </c>
      <c r="B169" s="36" t="str">
        <f t="shared" si="39"/>
        <v>Q2</v>
      </c>
      <c r="C169" s="33">
        <f t="shared" si="40"/>
        <v>1</v>
      </c>
      <c r="D169" t="str">
        <f t="shared" si="35"/>
        <v>Crevier BMW</v>
      </c>
      <c r="E169" t="str">
        <f>IF($J169="","",IFERROR(VLOOKUP($J169,KEY!$D$6:$F$76,3,FALSE),""))</f>
        <v>Orange County</v>
      </c>
      <c r="F169" t="str">
        <f>IF($J169="","",IFERROR(VLOOKUP($J169,KEY!$D$6:$F$76,2,FALSE),""))</f>
        <v>BMW</v>
      </c>
      <c r="G169" t="str">
        <f t="shared" si="42"/>
        <v>Q2 Shop 1_Crevier BMW</v>
      </c>
      <c r="H169" s="30">
        <f t="shared" si="37"/>
        <v>4</v>
      </c>
      <c r="I169" s="30">
        <f t="shared" si="38"/>
        <v>4</v>
      </c>
      <c r="J169" s="110" t="s">
        <v>90</v>
      </c>
      <c r="L169" t="s">
        <v>273</v>
      </c>
      <c r="M169" t="s">
        <v>57</v>
      </c>
      <c r="N169" t="s">
        <v>57</v>
      </c>
      <c r="O169" t="s">
        <v>57</v>
      </c>
      <c r="P169" t="s">
        <v>57</v>
      </c>
    </row>
    <row r="170" spans="1:16">
      <c r="A170" s="183" t="str">
        <f t="shared" si="41"/>
        <v>Q2 Shop 1</v>
      </c>
      <c r="B170" s="36" t="str">
        <f t="shared" si="39"/>
        <v>Q2</v>
      </c>
      <c r="C170" s="33">
        <f t="shared" si="40"/>
        <v>1</v>
      </c>
      <c r="D170" t="str">
        <f t="shared" si="35"/>
        <v>Crevier MINI</v>
      </c>
      <c r="E170" t="str">
        <f>IF($J170="","",IFERROR(VLOOKUP($J170,KEY!$D$6:$F$76,3,FALSE),""))</f>
        <v>Orange County</v>
      </c>
      <c r="F170" t="str">
        <f>IF($J170="","",IFERROR(VLOOKUP($J170,KEY!$D$6:$F$76,2,FALSE),""))</f>
        <v>MINI</v>
      </c>
      <c r="G170" t="str">
        <f t="shared" si="42"/>
        <v>Q2 Shop 1_Crevier MINI</v>
      </c>
      <c r="H170" s="30">
        <f t="shared" si="37"/>
        <v>4</v>
      </c>
      <c r="I170" s="30">
        <f t="shared" si="38"/>
        <v>4</v>
      </c>
      <c r="J170" s="110" t="s">
        <v>92</v>
      </c>
      <c r="L170" t="s">
        <v>274</v>
      </c>
      <c r="M170" t="s">
        <v>57</v>
      </c>
      <c r="N170" t="s">
        <v>57</v>
      </c>
      <c r="O170" t="s">
        <v>57</v>
      </c>
      <c r="P170" t="s">
        <v>57</v>
      </c>
    </row>
    <row r="171" spans="1:16">
      <c r="A171" s="183" t="str">
        <f t="shared" si="41"/>
        <v>Q2 Shop 1</v>
      </c>
      <c r="B171" s="36" t="str">
        <f t="shared" si="39"/>
        <v>Q2</v>
      </c>
      <c r="C171" s="33">
        <f t="shared" si="40"/>
        <v>1</v>
      </c>
      <c r="D171" t="str">
        <f t="shared" si="35"/>
        <v>Honda North</v>
      </c>
      <c r="E171" t="str">
        <f>IF($J171="","",IFERROR(VLOOKUP($J171,KEY!$D$6:$F$76,3,FALSE),""))</f>
        <v>Northern California</v>
      </c>
      <c r="F171" t="str">
        <f>IF($J171="","",IFERROR(VLOOKUP($J171,KEY!$D$6:$F$76,2,FALSE),""))</f>
        <v>Honda</v>
      </c>
      <c r="G171" t="str">
        <f t="shared" si="42"/>
        <v>Q2 Shop 1_Honda North</v>
      </c>
      <c r="H171" s="30">
        <f t="shared" si="37"/>
        <v>4</v>
      </c>
      <c r="I171" s="30">
        <f t="shared" si="38"/>
        <v>3</v>
      </c>
      <c r="J171" s="110" t="s">
        <v>102</v>
      </c>
      <c r="L171" t="s">
        <v>275</v>
      </c>
      <c r="M171" t="s">
        <v>57</v>
      </c>
      <c r="N171" t="s">
        <v>56</v>
      </c>
      <c r="O171" t="s">
        <v>57</v>
      </c>
      <c r="P171" t="s">
        <v>57</v>
      </c>
    </row>
    <row r="172" spans="1:16">
      <c r="A172" s="183" t="str">
        <f t="shared" si="41"/>
        <v>Q2 Shop 1</v>
      </c>
      <c r="B172" s="36" t="str">
        <f t="shared" si="39"/>
        <v>Q2</v>
      </c>
      <c r="C172" s="33">
        <f t="shared" si="40"/>
        <v>1</v>
      </c>
      <c r="D172" t="str">
        <f t="shared" si="35"/>
        <v>Honda of Escondido</v>
      </c>
      <c r="E172" t="str">
        <f>IF($J172="","",IFERROR(VLOOKUP($J172,KEY!$D$6:$F$76,3,FALSE),""))</f>
        <v>Southern California</v>
      </c>
      <c r="F172" t="str">
        <f>IF($J172="","",IFERROR(VLOOKUP($J172,KEY!$D$6:$F$76,2,FALSE),""))</f>
        <v>Honda</v>
      </c>
      <c r="G172" t="str">
        <f t="shared" si="42"/>
        <v>Q2 Shop 1_Honda of Escondido</v>
      </c>
      <c r="H172" s="30">
        <f t="shared" si="37"/>
        <v>4</v>
      </c>
      <c r="I172" s="30">
        <f t="shared" si="38"/>
        <v>3</v>
      </c>
      <c r="J172" s="110" t="s">
        <v>104</v>
      </c>
      <c r="L172" t="s">
        <v>276</v>
      </c>
      <c r="M172" t="s">
        <v>56</v>
      </c>
      <c r="N172" t="s">
        <v>57</v>
      </c>
      <c r="O172" t="s">
        <v>57</v>
      </c>
      <c r="P172" t="s">
        <v>57</v>
      </c>
    </row>
    <row r="173" spans="1:16">
      <c r="A173" s="183" t="str">
        <f t="shared" si="41"/>
        <v>Q2 Shop 1</v>
      </c>
      <c r="B173" s="36" t="str">
        <f t="shared" si="39"/>
        <v>Q2</v>
      </c>
      <c r="C173" s="33">
        <f t="shared" si="40"/>
        <v>1</v>
      </c>
      <c r="D173" t="str">
        <f t="shared" si="35"/>
        <v>Kearny Mesa Acura</v>
      </c>
      <c r="E173" t="str">
        <f>IF($J173="","",IFERROR(VLOOKUP($J173,KEY!$D$6:$F$76,3,FALSE),""))</f>
        <v/>
      </c>
      <c r="F173" t="str">
        <f>IF($J173="","",IFERROR(VLOOKUP($J173,KEY!$D$6:$F$76,2,FALSE),""))</f>
        <v/>
      </c>
      <c r="G173" t="str">
        <f t="shared" si="42"/>
        <v>Q2 Shop 1_Kearny Mesa Acura</v>
      </c>
      <c r="H173" s="30">
        <f t="shared" si="37"/>
        <v>4</v>
      </c>
      <c r="I173" s="30">
        <f t="shared" si="38"/>
        <v>3</v>
      </c>
      <c r="J173" s="110" t="s">
        <v>110</v>
      </c>
      <c r="L173" t="s">
        <v>277</v>
      </c>
      <c r="M173" t="s">
        <v>56</v>
      </c>
      <c r="N173" t="s">
        <v>57</v>
      </c>
      <c r="O173" t="s">
        <v>57</v>
      </c>
      <c r="P173" t="s">
        <v>57</v>
      </c>
    </row>
    <row r="174" spans="1:16">
      <c r="A174" s="183" t="str">
        <f t="shared" si="41"/>
        <v>Q2 Shop 1</v>
      </c>
      <c r="B174" s="36" t="str">
        <f t="shared" si="39"/>
        <v>Q2</v>
      </c>
      <c r="C174" s="33">
        <f t="shared" si="40"/>
        <v>1</v>
      </c>
      <c r="D174" t="str">
        <f t="shared" si="35"/>
        <v>Lexus San Diego</v>
      </c>
      <c r="E174" t="str">
        <f>IF($J174="","",IFERROR(VLOOKUP($J174,KEY!$D$6:$F$76,3,FALSE),""))</f>
        <v>Southern California</v>
      </c>
      <c r="F174" t="str">
        <f>IF($J174="","",IFERROR(VLOOKUP($J174,KEY!$D$6:$F$76,2,FALSE),""))</f>
        <v>Lexus</v>
      </c>
      <c r="G174" t="str">
        <f t="shared" si="42"/>
        <v>Q2 Shop 1_Lexus San Diego</v>
      </c>
      <c r="H174" s="30">
        <f t="shared" si="37"/>
        <v>4</v>
      </c>
      <c r="I174" s="30">
        <f t="shared" si="38"/>
        <v>4</v>
      </c>
      <c r="J174" s="110" t="s">
        <v>126</v>
      </c>
      <c r="L174" t="s">
        <v>278</v>
      </c>
      <c r="M174" t="s">
        <v>57</v>
      </c>
      <c r="N174" t="s">
        <v>57</v>
      </c>
      <c r="O174" t="s">
        <v>57</v>
      </c>
      <c r="P174" t="s">
        <v>57</v>
      </c>
    </row>
    <row r="175" spans="1:16">
      <c r="A175" s="183" t="str">
        <f t="shared" si="41"/>
        <v>Q2 Shop 1</v>
      </c>
      <c r="B175" s="36" t="str">
        <f t="shared" si="39"/>
        <v>Q2</v>
      </c>
      <c r="C175" s="33">
        <f t="shared" si="40"/>
        <v>1</v>
      </c>
      <c r="D175" t="str">
        <f t="shared" si="35"/>
        <v>Lincoln South Coast</v>
      </c>
      <c r="E175" t="str">
        <f>IF($J175="","",IFERROR(VLOOKUP($J175,KEY!$D$6:$F$76,3,FALSE),""))</f>
        <v>Orange County</v>
      </c>
      <c r="F175" t="str">
        <f>IF($J175="","",IFERROR(VLOOKUP($J175,KEY!$D$6:$F$76,2,FALSE),""))</f>
        <v>Lincoln</v>
      </c>
      <c r="G175" t="str">
        <f t="shared" si="42"/>
        <v>Q2 Shop 1_Lincoln South Coast</v>
      </c>
      <c r="H175" s="30">
        <f t="shared" si="37"/>
        <v>4</v>
      </c>
      <c r="I175" s="30">
        <f t="shared" si="38"/>
        <v>3</v>
      </c>
      <c r="J175" s="110" t="s">
        <v>128</v>
      </c>
      <c r="L175" t="s">
        <v>279</v>
      </c>
      <c r="M175" t="s">
        <v>57</v>
      </c>
      <c r="N175" t="s">
        <v>56</v>
      </c>
      <c r="O175" t="s">
        <v>57</v>
      </c>
      <c r="P175" t="s">
        <v>57</v>
      </c>
    </row>
    <row r="176" spans="1:16">
      <c r="A176" s="183" t="str">
        <f t="shared" si="41"/>
        <v>Q2 Shop 1</v>
      </c>
      <c r="B176" s="36" t="str">
        <f t="shared" si="39"/>
        <v>Q2</v>
      </c>
      <c r="C176" s="33">
        <f t="shared" si="40"/>
        <v>1</v>
      </c>
      <c r="D176" t="str">
        <f t="shared" si="35"/>
        <v>Mazda of Escondido</v>
      </c>
      <c r="E176" t="str">
        <f>IF($J176="","",IFERROR(VLOOKUP($J176,KEY!$D$6:$F$76,3,FALSE),""))</f>
        <v>Southern California</v>
      </c>
      <c r="F176" t="str">
        <f>IF($J176="","",IFERROR(VLOOKUP($J176,KEY!$D$6:$F$76,2,FALSE),""))</f>
        <v>Mazda</v>
      </c>
      <c r="G176" t="str">
        <f t="shared" si="42"/>
        <v>Q2 Shop 1_Mazda of Escondido</v>
      </c>
      <c r="H176" s="30">
        <f t="shared" si="37"/>
        <v>4</v>
      </c>
      <c r="I176" s="30">
        <f t="shared" si="38"/>
        <v>4</v>
      </c>
      <c r="J176" s="110" t="s">
        <v>130</v>
      </c>
      <c r="L176" t="s">
        <v>280</v>
      </c>
      <c r="M176" t="s">
        <v>57</v>
      </c>
      <c r="N176" t="s">
        <v>57</v>
      </c>
      <c r="O176" t="s">
        <v>57</v>
      </c>
      <c r="P176" t="s">
        <v>57</v>
      </c>
    </row>
    <row r="177" spans="1:16">
      <c r="A177" s="183" t="str">
        <f t="shared" si="41"/>
        <v>Q2 Shop 1</v>
      </c>
      <c r="B177" s="36" t="str">
        <f t="shared" si="39"/>
        <v>Q2</v>
      </c>
      <c r="C177" s="33">
        <f t="shared" si="40"/>
        <v>1</v>
      </c>
      <c r="D177" t="str">
        <f t="shared" si="35"/>
        <v>Mercedes-Benz of San Diego</v>
      </c>
      <c r="E177" t="str">
        <f>IF($J177="","",IFERROR(VLOOKUP($J177,KEY!$D$6:$F$76,3,FALSE),""))</f>
        <v>Southern California</v>
      </c>
      <c r="F177" t="str">
        <f>IF($J177="","",IFERROR(VLOOKUP($J177,KEY!$D$6:$F$76,2,FALSE),""))</f>
        <v>Mercedes-Benz</v>
      </c>
      <c r="G177" t="str">
        <f t="shared" si="42"/>
        <v>Q2 Shop 1_Mercedes-Benz of San Diego</v>
      </c>
      <c r="H177" s="30">
        <f t="shared" ref="H177:H208" si="43">IF($J177="","",COUNTIF($M177:$V177,"*"))</f>
        <v>4</v>
      </c>
      <c r="I177" s="30">
        <f t="shared" ref="I177:I208" si="44">IF($J177="","",COUNTIF($M177:$V177,"YES*"))</f>
        <v>2</v>
      </c>
      <c r="J177" s="110" t="s">
        <v>136</v>
      </c>
      <c r="L177" t="s">
        <v>281</v>
      </c>
      <c r="M177" t="s">
        <v>57</v>
      </c>
      <c r="N177" t="s">
        <v>56</v>
      </c>
      <c r="O177" t="s">
        <v>57</v>
      </c>
      <c r="P177" t="s">
        <v>56</v>
      </c>
    </row>
    <row r="178" spans="1:16">
      <c r="A178" s="183" t="str">
        <f t="shared" si="41"/>
        <v>Q2 Shop 1</v>
      </c>
      <c r="B178" s="36" t="str">
        <f t="shared" si="39"/>
        <v>Q2</v>
      </c>
      <c r="C178" s="33">
        <f t="shared" si="40"/>
        <v>1</v>
      </c>
      <c r="D178" t="str">
        <f t="shared" si="35"/>
        <v>MINI of Marin</v>
      </c>
      <c r="E178" t="str">
        <f>IF($J178="","",IFERROR(VLOOKUP($J178,KEY!$D$6:$F$76,3,FALSE),""))</f>
        <v>Northern California</v>
      </c>
      <c r="F178" t="str">
        <f>IF($J178="","",IFERROR(VLOOKUP($J178,KEY!$D$6:$F$76,2,FALSE),""))</f>
        <v>MINI</v>
      </c>
      <c r="G178" t="str">
        <f t="shared" si="42"/>
        <v>Q2 Shop 1_MINI of Marin</v>
      </c>
      <c r="H178" s="30">
        <f t="shared" si="43"/>
        <v>4</v>
      </c>
      <c r="I178" s="30">
        <f t="shared" si="44"/>
        <v>4</v>
      </c>
      <c r="J178" s="110" t="s">
        <v>142</v>
      </c>
      <c r="L178" t="s">
        <v>282</v>
      </c>
      <c r="M178" t="s">
        <v>57</v>
      </c>
      <c r="N178" t="s">
        <v>57</v>
      </c>
      <c r="O178" t="s">
        <v>57</v>
      </c>
      <c r="P178" t="s">
        <v>57</v>
      </c>
    </row>
    <row r="179" spans="1:16">
      <c r="A179" s="183" t="str">
        <f t="shared" si="41"/>
        <v>Q2 Shop 1</v>
      </c>
      <c r="B179" s="36" t="str">
        <f t="shared" si="39"/>
        <v>Q2</v>
      </c>
      <c r="C179" s="33">
        <f t="shared" si="40"/>
        <v>1</v>
      </c>
      <c r="D179" t="str">
        <f t="shared" si="35"/>
        <v>MINI of Ontario</v>
      </c>
      <c r="E179" t="str">
        <f>IF($J179="","",IFERROR(VLOOKUP($J179,KEY!$D$6:$F$76,3,FALSE),""))</f>
        <v>Orange County</v>
      </c>
      <c r="F179" t="str">
        <f>IF($J179="","",IFERROR(VLOOKUP($J179,KEY!$D$6:$F$76,2,FALSE),""))</f>
        <v>MINI</v>
      </c>
      <c r="G179" t="str">
        <f t="shared" si="42"/>
        <v>Q2 Shop 1_MINI of Ontario</v>
      </c>
      <c r="H179" s="30">
        <f t="shared" si="43"/>
        <v>4</v>
      </c>
      <c r="I179" s="30">
        <f t="shared" si="44"/>
        <v>4</v>
      </c>
      <c r="J179" s="110" t="s">
        <v>144</v>
      </c>
      <c r="L179" t="s">
        <v>283</v>
      </c>
      <c r="M179" t="s">
        <v>57</v>
      </c>
      <c r="N179" t="s">
        <v>57</v>
      </c>
      <c r="O179" t="s">
        <v>57</v>
      </c>
      <c r="P179" t="s">
        <v>57</v>
      </c>
    </row>
    <row r="180" spans="1:16">
      <c r="A180" s="183" t="str">
        <f t="shared" si="41"/>
        <v>Q2 Shop 1</v>
      </c>
      <c r="B180" s="36" t="str">
        <f t="shared" si="39"/>
        <v>Q2</v>
      </c>
      <c r="C180" s="33">
        <f t="shared" si="40"/>
        <v>1</v>
      </c>
      <c r="D180" t="str">
        <f t="shared" si="35"/>
        <v>MINI of San Diego</v>
      </c>
      <c r="E180" t="str">
        <f>IF($J180="","",IFERROR(VLOOKUP($J180,KEY!$D$6:$F$76,3,FALSE),""))</f>
        <v>Southern California</v>
      </c>
      <c r="F180" t="str">
        <f>IF($J180="","",IFERROR(VLOOKUP($J180,KEY!$D$6:$F$76,2,FALSE),""))</f>
        <v>MINI</v>
      </c>
      <c r="G180" t="str">
        <f t="shared" si="42"/>
        <v>Q2 Shop 1_MINI of San Diego</v>
      </c>
      <c r="H180" s="30">
        <f t="shared" si="43"/>
        <v>4</v>
      </c>
      <c r="I180" s="30">
        <f t="shared" si="44"/>
        <v>4</v>
      </c>
      <c r="J180" s="110" t="s">
        <v>146</v>
      </c>
      <c r="L180" t="s">
        <v>284</v>
      </c>
      <c r="M180" t="s">
        <v>57</v>
      </c>
      <c r="N180" t="s">
        <v>57</v>
      </c>
      <c r="O180" t="s">
        <v>57</v>
      </c>
      <c r="P180" t="s">
        <v>57</v>
      </c>
    </row>
    <row r="181" spans="1:16">
      <c r="A181" s="183" t="str">
        <f t="shared" si="41"/>
        <v>Q2 Shop 1</v>
      </c>
      <c r="B181" s="36" t="str">
        <f t="shared" si="39"/>
        <v>Q2</v>
      </c>
      <c r="C181" s="33">
        <f t="shared" si="40"/>
        <v>1</v>
      </c>
      <c r="D181" t="str">
        <f t="shared" si="35"/>
        <v>Peter Pan BMW</v>
      </c>
      <c r="E181" t="str">
        <f>IF($J181="","",IFERROR(VLOOKUP($J181,KEY!$D$6:$F$76,3,FALSE),""))</f>
        <v>Northern California</v>
      </c>
      <c r="F181" t="str">
        <f>IF($J181="","",IFERROR(VLOOKUP($J181,KEY!$D$6:$F$76,2,FALSE),""))</f>
        <v>BMW</v>
      </c>
      <c r="G181" t="str">
        <f t="shared" si="42"/>
        <v>Q2 Shop 1_Peter Pan BMW</v>
      </c>
      <c r="H181" s="30">
        <f t="shared" si="43"/>
        <v>4</v>
      </c>
      <c r="I181" s="30">
        <f t="shared" si="44"/>
        <v>4</v>
      </c>
      <c r="J181" s="110" t="s">
        <v>158</v>
      </c>
      <c r="L181" t="s">
        <v>285</v>
      </c>
      <c r="M181" t="s">
        <v>57</v>
      </c>
      <c r="N181" t="s">
        <v>57</v>
      </c>
      <c r="O181" t="s">
        <v>57</v>
      </c>
      <c r="P181" t="s">
        <v>57</v>
      </c>
    </row>
    <row r="182" spans="1:16">
      <c r="A182" s="183" t="str">
        <f t="shared" si="41"/>
        <v>Q2 Shop 1</v>
      </c>
      <c r="B182" s="36" t="str">
        <f t="shared" si="39"/>
        <v>Q2</v>
      </c>
      <c r="C182" s="33">
        <f t="shared" si="40"/>
        <v>1</v>
      </c>
      <c r="D182" t="str">
        <f t="shared" si="35"/>
        <v>Porsche Stevens Creek</v>
      </c>
      <c r="E182" t="str">
        <f>IF($J182="","",IFERROR(VLOOKUP($J182,KEY!$D$6:$F$76,3,FALSE),""))</f>
        <v>Northern California</v>
      </c>
      <c r="F182" t="str">
        <f>IF($J182="","",IFERROR(VLOOKUP($J182,KEY!$D$6:$F$76,2,FALSE),""))</f>
        <v>Porsche</v>
      </c>
      <c r="G182" t="str">
        <f t="shared" si="42"/>
        <v>Q2 Shop 1_Porsche Stevens Creek</v>
      </c>
      <c r="H182" s="30">
        <f t="shared" si="43"/>
        <v>4</v>
      </c>
      <c r="I182" s="30">
        <f t="shared" si="44"/>
        <v>4</v>
      </c>
      <c r="J182" s="110" t="s">
        <v>162</v>
      </c>
      <c r="L182" t="s">
        <v>286</v>
      </c>
      <c r="M182" t="s">
        <v>57</v>
      </c>
      <c r="N182" t="s">
        <v>57</v>
      </c>
      <c r="O182" t="s">
        <v>57</v>
      </c>
      <c r="P182" t="s">
        <v>57</v>
      </c>
    </row>
    <row r="183" spans="1:16">
      <c r="A183" s="183" t="str">
        <f t="shared" si="41"/>
        <v>Q2 Shop 1</v>
      </c>
      <c r="B183" s="36" t="str">
        <f t="shared" si="39"/>
        <v>Q2</v>
      </c>
      <c r="C183" s="33">
        <f t="shared" si="40"/>
        <v>1</v>
      </c>
      <c r="D183" t="str">
        <f t="shared" si="35"/>
        <v>Subaru Orange Coast</v>
      </c>
      <c r="E183" t="str">
        <f>IF($J183="","",IFERROR(VLOOKUP($J183,KEY!$D$6:$F$76,3,FALSE),""))</f>
        <v>Orange County</v>
      </c>
      <c r="F183" t="str">
        <f>IF($J183="","",IFERROR(VLOOKUP($J183,KEY!$D$6:$F$76,2,FALSE),""))</f>
        <v>Subaru</v>
      </c>
      <c r="G183" t="str">
        <f t="shared" si="42"/>
        <v>Q2 Shop 1_Subaru Orange Coast</v>
      </c>
      <c r="H183" s="30">
        <f t="shared" si="43"/>
        <v>4</v>
      </c>
      <c r="I183" s="30">
        <f t="shared" si="44"/>
        <v>4</v>
      </c>
      <c r="J183" s="110" t="s">
        <v>172</v>
      </c>
      <c r="L183" t="s">
        <v>287</v>
      </c>
      <c r="M183" t="s">
        <v>57</v>
      </c>
      <c r="N183" t="s">
        <v>57</v>
      </c>
      <c r="O183" t="s">
        <v>57</v>
      </c>
      <c r="P183" t="s">
        <v>57</v>
      </c>
    </row>
    <row r="184" spans="1:16">
      <c r="A184" s="183" t="str">
        <f t="shared" si="41"/>
        <v>Q2 Shop 1</v>
      </c>
      <c r="B184" s="36" t="str">
        <f t="shared" si="39"/>
        <v>Q2</v>
      </c>
      <c r="C184" s="33">
        <f t="shared" si="40"/>
        <v>1</v>
      </c>
      <c r="D184" t="str">
        <f t="shared" si="35"/>
        <v>Toyota of Clovis</v>
      </c>
      <c r="E184" t="str">
        <f>IF($J184="","",IFERROR(VLOOKUP($J184,KEY!$D$6:$F$76,3,FALSE),""))</f>
        <v>Northern California</v>
      </c>
      <c r="F184" t="str">
        <f>IF($J184="","",IFERROR(VLOOKUP($J184,KEY!$D$6:$F$76,2,FALSE),""))</f>
        <v>Toyota</v>
      </c>
      <c r="G184" t="str">
        <f t="shared" si="42"/>
        <v>Q2 Shop 1_Toyota of Clovis</v>
      </c>
      <c r="H184" s="30">
        <f t="shared" si="43"/>
        <v>4</v>
      </c>
      <c r="I184" s="30">
        <f t="shared" si="44"/>
        <v>4</v>
      </c>
      <c r="J184" s="110" t="s">
        <v>176</v>
      </c>
      <c r="L184" t="s">
        <v>288</v>
      </c>
      <c r="M184" t="s">
        <v>57</v>
      </c>
      <c r="N184" t="s">
        <v>57</v>
      </c>
      <c r="O184" t="s">
        <v>57</v>
      </c>
      <c r="P184" t="s">
        <v>57</v>
      </c>
    </row>
    <row r="185" spans="1:16">
      <c r="A185" s="183" t="str">
        <f t="shared" si="41"/>
        <v>Q2 Shop 1</v>
      </c>
      <c r="B185" s="36" t="str">
        <f t="shared" si="39"/>
        <v>Q2</v>
      </c>
      <c r="C185" s="33">
        <f t="shared" si="40"/>
        <v>1</v>
      </c>
      <c r="D185" t="str">
        <f t="shared" si="35"/>
        <v>Volkswagen South Coast</v>
      </c>
      <c r="E185" t="str">
        <f>IF($J185="","",IFERROR(VLOOKUP($J185,KEY!$D$6:$F$76,3,FALSE),""))</f>
        <v>Orange County</v>
      </c>
      <c r="F185" t="str">
        <f>IF($J185="","",IFERROR(VLOOKUP($J185,KEY!$D$6:$F$76,2,FALSE),""))</f>
        <v>Volkswagen</v>
      </c>
      <c r="G185" t="str">
        <f t="shared" si="42"/>
        <v>Q2 Shop 1_Volkswagen South Coast</v>
      </c>
      <c r="H185" s="30">
        <f t="shared" si="43"/>
        <v>4</v>
      </c>
      <c r="I185" s="30">
        <f t="shared" si="44"/>
        <v>3</v>
      </c>
      <c r="J185" s="110" t="s">
        <v>182</v>
      </c>
      <c r="L185" t="s">
        <v>289</v>
      </c>
      <c r="M185" t="s">
        <v>57</v>
      </c>
      <c r="N185" t="s">
        <v>56</v>
      </c>
      <c r="O185" t="s">
        <v>57</v>
      </c>
      <c r="P185" t="s">
        <v>57</v>
      </c>
    </row>
    <row r="186" spans="1:16">
      <c r="A186" s="183" t="str">
        <f t="shared" si="41"/>
        <v>Q2 Shop 1</v>
      </c>
      <c r="B186" s="36" t="str">
        <f t="shared" si="39"/>
        <v>Q2</v>
      </c>
      <c r="C186" s="33">
        <f t="shared" si="40"/>
        <v>1</v>
      </c>
      <c r="D186" t="str">
        <f t="shared" si="35"/>
        <v>Acura of Escondido</v>
      </c>
      <c r="E186" t="str">
        <f>IF($J186="","",IFERROR(VLOOKUP($J186,KEY!$D$6:$F$76,3,FALSE),""))</f>
        <v>Southern California</v>
      </c>
      <c r="F186" t="str">
        <f>IF($J186="","",IFERROR(VLOOKUP($J186,KEY!$D$6:$F$76,2,FALSE),""))</f>
        <v>Acura</v>
      </c>
      <c r="G186" t="str">
        <f t="shared" si="42"/>
        <v>Q2 Shop 1_Acura of Escondido</v>
      </c>
      <c r="H186" s="30">
        <f t="shared" si="43"/>
        <v>4</v>
      </c>
      <c r="I186" s="30">
        <f t="shared" si="44"/>
        <v>3</v>
      </c>
      <c r="J186" s="110" t="s">
        <v>58</v>
      </c>
      <c r="L186" t="s">
        <v>290</v>
      </c>
      <c r="M186" t="s">
        <v>57</v>
      </c>
      <c r="N186" t="s">
        <v>56</v>
      </c>
      <c r="O186" t="s">
        <v>57</v>
      </c>
      <c r="P186" t="s">
        <v>57</v>
      </c>
    </row>
    <row r="187" spans="1:16">
      <c r="A187" s="183" t="str">
        <f t="shared" si="41"/>
        <v>Q2 Shop 1</v>
      </c>
      <c r="B187" s="36" t="str">
        <f t="shared" si="39"/>
        <v>Q2</v>
      </c>
      <c r="C187" s="33">
        <f t="shared" si="40"/>
        <v>1</v>
      </c>
      <c r="D187" t="str">
        <f t="shared" si="35"/>
        <v>Penske Chevrolet</v>
      </c>
      <c r="E187" t="str">
        <f>IF($J187="","",IFERROR(VLOOKUP($J187,KEY!$D$6:$F$76,3,FALSE),""))</f>
        <v>Indiana</v>
      </c>
      <c r="F187" t="str">
        <f>IF($J187="","",IFERROR(VLOOKUP($J187,KEY!$D$6:$F$76,2,FALSE),""))</f>
        <v>Chevrolet</v>
      </c>
      <c r="G187" t="str">
        <f t="shared" si="42"/>
        <v>Q2 Shop 1_Penske Chevrolet</v>
      </c>
      <c r="H187" s="30">
        <f t="shared" si="43"/>
        <v>4</v>
      </c>
      <c r="I187" s="30">
        <f t="shared" si="44"/>
        <v>4</v>
      </c>
      <c r="J187" s="110" t="s">
        <v>154</v>
      </c>
      <c r="L187" t="s">
        <v>291</v>
      </c>
      <c r="M187" t="s">
        <v>57</v>
      </c>
      <c r="N187" t="s">
        <v>57</v>
      </c>
      <c r="O187" t="s">
        <v>57</v>
      </c>
      <c r="P187" t="s">
        <v>57</v>
      </c>
    </row>
    <row r="188" spans="1:16">
      <c r="A188" s="183" t="str">
        <f t="shared" si="41"/>
        <v>Q2 Shop 1</v>
      </c>
      <c r="B188" s="36" t="str">
        <f t="shared" si="39"/>
        <v>Q2</v>
      </c>
      <c r="C188" s="33">
        <f t="shared" si="40"/>
        <v>1</v>
      </c>
      <c r="D188" t="str">
        <f t="shared" si="35"/>
        <v>Penske Honda</v>
      </c>
      <c r="E188" t="str">
        <f>IF($J188="","",IFERROR(VLOOKUP($J188,KEY!$D$6:$F$76,3,FALSE),""))</f>
        <v>Indiana</v>
      </c>
      <c r="F188" t="str">
        <f>IF($J188="","",IFERROR(VLOOKUP($J188,KEY!$D$6:$F$76,2,FALSE),""))</f>
        <v>Honda</v>
      </c>
      <c r="G188" t="str">
        <f t="shared" si="42"/>
        <v>Q2 Shop 1_Penske Honda</v>
      </c>
      <c r="H188" s="30">
        <f t="shared" si="43"/>
        <v>4</v>
      </c>
      <c r="I188" s="30">
        <f t="shared" si="44"/>
        <v>2</v>
      </c>
      <c r="J188" s="110" t="s">
        <v>156</v>
      </c>
      <c r="L188" t="s">
        <v>292</v>
      </c>
      <c r="M188" t="s">
        <v>57</v>
      </c>
      <c r="N188" t="s">
        <v>56</v>
      </c>
      <c r="O188" t="s">
        <v>57</v>
      </c>
      <c r="P188" t="s">
        <v>56</v>
      </c>
    </row>
    <row r="189" spans="1:16">
      <c r="A189" s="183" t="str">
        <f t="shared" si="41"/>
        <v>Q2 Shop 1</v>
      </c>
      <c r="B189" s="36" t="str">
        <f t="shared" si="39"/>
        <v>Q2</v>
      </c>
      <c r="C189" s="33">
        <f t="shared" si="40"/>
        <v>1</v>
      </c>
      <c r="D189" t="str">
        <f t="shared" si="35"/>
        <v>BMW of Bloomfield Hills</v>
      </c>
      <c r="E189" t="str">
        <f>IF($J189="","",IFERROR(VLOOKUP($J189,KEY!$D$6:$F$76,3,FALSE),""))</f>
        <v>Michigan &amp; Minnesota</v>
      </c>
      <c r="F189" t="str">
        <f>IF($J189="","",IFERROR(VLOOKUP($J189,KEY!$D$6:$F$76,2,FALSE),""))</f>
        <v>BMW</v>
      </c>
      <c r="G189" t="str">
        <f t="shared" si="42"/>
        <v>Q2 Shop 1_BMW of Bloomfield Hills</v>
      </c>
      <c r="H189" s="30">
        <f t="shared" si="43"/>
        <v>4</v>
      </c>
      <c r="I189" s="30">
        <f t="shared" si="44"/>
        <v>2</v>
      </c>
      <c r="J189" s="110" t="s">
        <v>78</v>
      </c>
      <c r="L189" t="s">
        <v>293</v>
      </c>
      <c r="M189" t="s">
        <v>57</v>
      </c>
      <c r="N189" t="s">
        <v>56</v>
      </c>
      <c r="O189" t="s">
        <v>57</v>
      </c>
      <c r="P189" t="s">
        <v>56</v>
      </c>
    </row>
    <row r="190" spans="1:16">
      <c r="A190" s="183" t="str">
        <f t="shared" si="41"/>
        <v>Q2 Shop 1</v>
      </c>
      <c r="B190" s="36" t="str">
        <f t="shared" si="39"/>
        <v>Q2</v>
      </c>
      <c r="C190" s="33">
        <f t="shared" si="40"/>
        <v>1</v>
      </c>
      <c r="D190" t="str">
        <f t="shared" si="35"/>
        <v>Motorwerks BMW</v>
      </c>
      <c r="E190" t="str">
        <f>IF($J190="","",IFERROR(VLOOKUP($J190,KEY!$D$6:$F$76,3,FALSE),""))</f>
        <v>Michigan &amp; Minnesota</v>
      </c>
      <c r="F190" t="str">
        <f>IF($J190="","",IFERROR(VLOOKUP($J190,KEY!$D$6:$F$76,2,FALSE),""))</f>
        <v>BMW</v>
      </c>
      <c r="G190" t="str">
        <f t="shared" si="42"/>
        <v>Q2 Shop 1_Motorwerks BMW</v>
      </c>
      <c r="H190" s="30">
        <f t="shared" si="43"/>
        <v>4</v>
      </c>
      <c r="I190" s="30">
        <f t="shared" si="44"/>
        <v>3</v>
      </c>
      <c r="J190" s="110" t="s">
        <v>150</v>
      </c>
      <c r="L190" t="s">
        <v>294</v>
      </c>
      <c r="M190" t="s">
        <v>56</v>
      </c>
      <c r="N190" t="s">
        <v>57</v>
      </c>
      <c r="O190" t="s">
        <v>57</v>
      </c>
      <c r="P190" t="s">
        <v>57</v>
      </c>
    </row>
    <row r="191" spans="1:16">
      <c r="A191" s="183" t="str">
        <f t="shared" si="41"/>
        <v>Q2 Shop 1</v>
      </c>
      <c r="B191" s="36" t="str">
        <f t="shared" si="39"/>
        <v>Q2</v>
      </c>
      <c r="C191" s="33">
        <f t="shared" si="40"/>
        <v>1</v>
      </c>
      <c r="D191" t="str">
        <f t="shared" si="35"/>
        <v>Motorwerks MINI</v>
      </c>
      <c r="E191" t="str">
        <f>IF($J191="","",IFERROR(VLOOKUP($J191,KEY!$D$6:$F$76,3,FALSE),""))</f>
        <v>Michigan &amp; Minnesota</v>
      </c>
      <c r="F191" t="str">
        <f>IF($J191="","",IFERROR(VLOOKUP($J191,KEY!$D$6:$F$76,2,FALSE),""))</f>
        <v>MINI</v>
      </c>
      <c r="G191" t="str">
        <f t="shared" si="42"/>
        <v>Q2 Shop 1_Motorwerks MINI</v>
      </c>
      <c r="H191" s="30">
        <f t="shared" si="43"/>
        <v>4</v>
      </c>
      <c r="I191" s="30">
        <f t="shared" si="44"/>
        <v>3</v>
      </c>
      <c r="J191" s="110" t="s">
        <v>152</v>
      </c>
      <c r="L191" t="s">
        <v>295</v>
      </c>
      <c r="M191" t="s">
        <v>57</v>
      </c>
      <c r="N191" t="s">
        <v>57</v>
      </c>
      <c r="O191" t="s">
        <v>57</v>
      </c>
      <c r="P191" t="s">
        <v>56</v>
      </c>
    </row>
    <row r="192" spans="1:16">
      <c r="A192" s="183" t="str">
        <f t="shared" si="41"/>
        <v>Q2 Shop 1</v>
      </c>
      <c r="B192" s="36" t="str">
        <f t="shared" si="39"/>
        <v>Q2</v>
      </c>
      <c r="C192" s="33">
        <f t="shared" si="40"/>
        <v>1</v>
      </c>
      <c r="D192" t="str">
        <f t="shared" si="35"/>
        <v>BMW of Austin</v>
      </c>
      <c r="E192" t="str">
        <f>IF($J192="","",IFERROR(VLOOKUP($J192,KEY!$D$6:$F$76,3,FALSE),""))</f>
        <v>Texas</v>
      </c>
      <c r="F192" t="str">
        <f>IF($J192="","",IFERROR(VLOOKUP($J192,KEY!$D$6:$F$76,2,FALSE),""))</f>
        <v>BMW</v>
      </c>
      <c r="G192" t="str">
        <f t="shared" si="42"/>
        <v>Q2 Shop 1_BMW of Austin</v>
      </c>
      <c r="H192" s="30">
        <f t="shared" si="43"/>
        <v>4</v>
      </c>
      <c r="I192" s="30">
        <f t="shared" si="44"/>
        <v>4</v>
      </c>
      <c r="J192" s="110" t="s">
        <v>76</v>
      </c>
      <c r="L192" t="s">
        <v>296</v>
      </c>
      <c r="M192" t="s">
        <v>57</v>
      </c>
      <c r="N192" t="s">
        <v>57</v>
      </c>
      <c r="O192" t="s">
        <v>57</v>
      </c>
      <c r="P192" t="s">
        <v>57</v>
      </c>
    </row>
    <row r="193" spans="1:16">
      <c r="A193" s="183" t="str">
        <f t="shared" si="41"/>
        <v>Q2 Shop 1</v>
      </c>
      <c r="B193" s="36" t="str">
        <f t="shared" si="39"/>
        <v>Q2</v>
      </c>
      <c r="C193" s="33">
        <f t="shared" si="40"/>
        <v>1</v>
      </c>
      <c r="D193" t="str">
        <f t="shared" si="35"/>
        <v>Genesis of Round Rock</v>
      </c>
      <c r="E193" t="str">
        <f>IF($J193="","",IFERROR(VLOOKUP($J193,KEY!$D$6:$F$76,3,FALSE),""))</f>
        <v>Texas</v>
      </c>
      <c r="F193" t="str">
        <f>IF($J193="","",IFERROR(VLOOKUP($J193,KEY!$D$6:$F$76,2,FALSE),""))</f>
        <v>Genesis</v>
      </c>
      <c r="G193" t="str">
        <f t="shared" si="42"/>
        <v>Q2 Shop 1_Genesis of Round Rock</v>
      </c>
      <c r="H193" s="30">
        <f t="shared" si="43"/>
        <v>4</v>
      </c>
      <c r="I193" s="30">
        <f t="shared" si="44"/>
        <v>2</v>
      </c>
      <c r="J193" s="110" t="s">
        <v>98</v>
      </c>
      <c r="L193" t="s">
        <v>297</v>
      </c>
      <c r="M193" t="s">
        <v>56</v>
      </c>
      <c r="N193" t="s">
        <v>56</v>
      </c>
      <c r="O193" t="s">
        <v>57</v>
      </c>
      <c r="P193" t="s">
        <v>57</v>
      </c>
    </row>
    <row r="194" spans="1:16">
      <c r="A194" s="183" t="str">
        <f t="shared" si="41"/>
        <v>Q2 Shop 1</v>
      </c>
      <c r="B194" s="36" t="str">
        <f t="shared" si="39"/>
        <v>Q2</v>
      </c>
      <c r="C194" s="33">
        <f t="shared" si="40"/>
        <v>1</v>
      </c>
      <c r="D194" t="str">
        <f t="shared" si="35"/>
        <v>Honda Leander</v>
      </c>
      <c r="E194" t="str">
        <f>IF($J194="","",IFERROR(VLOOKUP($J194,KEY!$D$6:$F$76,3,FALSE),""))</f>
        <v>Texas</v>
      </c>
      <c r="F194" t="str">
        <f>IF($J194="","",IFERROR(VLOOKUP($J194,KEY!$D$6:$F$76,2,FALSE),""))</f>
        <v>Honda</v>
      </c>
      <c r="G194" t="str">
        <f t="shared" si="42"/>
        <v>Q2 Shop 1_Honda Leander</v>
      </c>
      <c r="H194" s="30">
        <f t="shared" si="43"/>
        <v>4</v>
      </c>
      <c r="I194" s="30">
        <f t="shared" si="44"/>
        <v>4</v>
      </c>
      <c r="J194" s="110" t="s">
        <v>100</v>
      </c>
      <c r="L194" t="s">
        <v>298</v>
      </c>
      <c r="M194" t="s">
        <v>57</v>
      </c>
      <c r="N194" t="s">
        <v>57</v>
      </c>
      <c r="O194" t="s">
        <v>57</v>
      </c>
      <c r="P194" t="s">
        <v>57</v>
      </c>
    </row>
    <row r="195" spans="1:16">
      <c r="A195" s="183" t="str">
        <f t="shared" si="41"/>
        <v>Q2 Shop 1</v>
      </c>
      <c r="B195" s="36" t="str">
        <f t="shared" si="39"/>
        <v>Q2</v>
      </c>
      <c r="C195" s="33">
        <f t="shared" si="40"/>
        <v>1</v>
      </c>
      <c r="D195" t="str">
        <f t="shared" si="35"/>
        <v>Hyundai of Pharr</v>
      </c>
      <c r="E195" t="str">
        <f>IF($J195="","",IFERROR(VLOOKUP($J195,KEY!$D$6:$F$76,3,FALSE),""))</f>
        <v>Texas</v>
      </c>
      <c r="F195" t="str">
        <f>IF($J195="","",IFERROR(VLOOKUP($J195,KEY!$D$6:$F$76,2,FALSE),""))</f>
        <v>Hyundai</v>
      </c>
      <c r="G195" t="str">
        <f t="shared" si="42"/>
        <v>Q2 Shop 1_Hyundai of Pharr</v>
      </c>
      <c r="H195" s="30">
        <f t="shared" si="43"/>
        <v>4</v>
      </c>
      <c r="I195" s="30">
        <f t="shared" si="44"/>
        <v>4</v>
      </c>
      <c r="J195" s="110" t="s">
        <v>108</v>
      </c>
      <c r="L195" t="s">
        <v>299</v>
      </c>
      <c r="M195" t="s">
        <v>57</v>
      </c>
      <c r="N195" t="s">
        <v>57</v>
      </c>
      <c r="O195" t="s">
        <v>57</v>
      </c>
      <c r="P195" t="s">
        <v>57</v>
      </c>
    </row>
    <row r="196" spans="1:16">
      <c r="A196" s="183" t="str">
        <f t="shared" si="41"/>
        <v>Q2 Shop 1</v>
      </c>
      <c r="B196" s="36" t="str">
        <f t="shared" si="39"/>
        <v>Q2</v>
      </c>
      <c r="C196" s="33">
        <f t="shared" si="40"/>
        <v>1</v>
      </c>
      <c r="D196" t="str">
        <f t="shared" si="35"/>
        <v>Lexus of Austin</v>
      </c>
      <c r="E196" t="str">
        <f>IF($J196="","",IFERROR(VLOOKUP($J196,KEY!$D$6:$F$76,3,FALSE),""))</f>
        <v>Texas</v>
      </c>
      <c r="F196" t="str">
        <f>IF($J196="","",IFERROR(VLOOKUP($J196,KEY!$D$6:$F$76,2,FALSE),""))</f>
        <v>Lexus</v>
      </c>
      <c r="G196" t="str">
        <f t="shared" si="42"/>
        <v>Q2 Shop 1_Lexus of Austin</v>
      </c>
      <c r="H196" s="30">
        <f t="shared" si="43"/>
        <v>4</v>
      </c>
      <c r="I196" s="30">
        <f t="shared" si="44"/>
        <v>4</v>
      </c>
      <c r="J196" s="110" t="s">
        <v>120</v>
      </c>
      <c r="L196" t="s">
        <v>300</v>
      </c>
      <c r="M196" t="s">
        <v>57</v>
      </c>
      <c r="N196" t="s">
        <v>57</v>
      </c>
      <c r="O196" t="s">
        <v>57</v>
      </c>
      <c r="P196" t="s">
        <v>57</v>
      </c>
    </row>
    <row r="197" spans="1:16">
      <c r="A197" s="183" t="str">
        <f t="shared" si="41"/>
        <v>Q2 Shop 1</v>
      </c>
      <c r="B197" s="36" t="str">
        <f t="shared" si="39"/>
        <v>Q2</v>
      </c>
      <c r="C197" s="33">
        <f t="shared" si="40"/>
        <v>1</v>
      </c>
      <c r="D197" t="str">
        <f t="shared" si="35"/>
        <v>Lexus of Lakeway</v>
      </c>
      <c r="E197" t="str">
        <f>IF($J197="","",IFERROR(VLOOKUP($J197,KEY!$D$6:$F$76,3,FALSE),""))</f>
        <v>Texas</v>
      </c>
      <c r="F197" t="str">
        <f>IF($J197="","",IFERROR(VLOOKUP($J197,KEY!$D$6:$F$76,2,FALSE),""))</f>
        <v>Lexus</v>
      </c>
      <c r="G197" t="str">
        <f t="shared" si="42"/>
        <v>Q2 Shop 1_Lexus of Lakeway</v>
      </c>
      <c r="H197" s="30">
        <f t="shared" si="43"/>
        <v>4</v>
      </c>
      <c r="I197" s="30">
        <f t="shared" si="44"/>
        <v>3</v>
      </c>
      <c r="J197" s="110" t="s">
        <v>124</v>
      </c>
      <c r="L197" t="s">
        <v>301</v>
      </c>
      <c r="M197" t="s">
        <v>57</v>
      </c>
      <c r="N197" t="s">
        <v>56</v>
      </c>
      <c r="O197" t="s">
        <v>57</v>
      </c>
      <c r="P197" t="s">
        <v>57</v>
      </c>
    </row>
    <row r="198" spans="1:16">
      <c r="A198" s="183" t="str">
        <f t="shared" si="41"/>
        <v>Q2 Shop 1</v>
      </c>
      <c r="B198" s="36" t="str">
        <f t="shared" si="39"/>
        <v>Q2</v>
      </c>
      <c r="C198" s="33">
        <f t="shared" si="40"/>
        <v>1</v>
      </c>
      <c r="D198" t="str">
        <f t="shared" si="35"/>
        <v>MINI of Austin</v>
      </c>
      <c r="E198" t="str">
        <f>IF($J198="","",IFERROR(VLOOKUP($J198,KEY!$D$6:$F$76,3,FALSE),""))</f>
        <v>Texas</v>
      </c>
      <c r="F198" t="str">
        <f>IF($J198="","",IFERROR(VLOOKUP($J198,KEY!$D$6:$F$76,2,FALSE),""))</f>
        <v>MINI</v>
      </c>
      <c r="G198" t="str">
        <f t="shared" si="42"/>
        <v>Q2 Shop 1_MINI of Austin</v>
      </c>
      <c r="H198" s="30">
        <f t="shared" si="43"/>
        <v>4</v>
      </c>
      <c r="I198" s="30">
        <f t="shared" si="44"/>
        <v>4</v>
      </c>
      <c r="J198" s="6" t="s">
        <v>140</v>
      </c>
      <c r="L198" t="s">
        <v>302</v>
      </c>
      <c r="M198" t="s">
        <v>57</v>
      </c>
      <c r="N198" t="s">
        <v>57</v>
      </c>
      <c r="O198" t="s">
        <v>57</v>
      </c>
      <c r="P198" t="s">
        <v>57</v>
      </c>
    </row>
    <row r="199" spans="1:16">
      <c r="A199" s="183" t="str">
        <f t="shared" si="41"/>
        <v>Q2 Shop 1</v>
      </c>
      <c r="B199" s="36" t="str">
        <f t="shared" si="39"/>
        <v>Q2</v>
      </c>
      <c r="C199" s="33">
        <f t="shared" si="40"/>
        <v>1</v>
      </c>
      <c r="D199" t="str">
        <f t="shared" si="35"/>
        <v>Round Rock Honda</v>
      </c>
      <c r="E199" t="str">
        <f>IF($J199="","",IFERROR(VLOOKUP($J199,KEY!$D$6:$F$76,3,FALSE),""))</f>
        <v>Texas</v>
      </c>
      <c r="F199" t="str">
        <f>IF($J199="","",IFERROR(VLOOKUP($J199,KEY!$D$6:$F$76,2,FALSE),""))</f>
        <v>Honda</v>
      </c>
      <c r="G199" t="str">
        <f t="shared" si="42"/>
        <v>Q2 Shop 1_Round Rock Honda</v>
      </c>
      <c r="H199" s="30">
        <f t="shared" si="43"/>
        <v>4</v>
      </c>
      <c r="I199" s="30">
        <f t="shared" si="44"/>
        <v>3</v>
      </c>
      <c r="J199" s="110" t="s">
        <v>164</v>
      </c>
      <c r="L199" t="s">
        <v>303</v>
      </c>
      <c r="M199" t="s">
        <v>57</v>
      </c>
      <c r="N199" t="s">
        <v>57</v>
      </c>
      <c r="O199" t="s">
        <v>57</v>
      </c>
      <c r="P199" t="s">
        <v>56</v>
      </c>
    </row>
    <row r="200" spans="1:16">
      <c r="A200" s="183" t="str">
        <f t="shared" si="41"/>
        <v>Q2 Shop 1</v>
      </c>
      <c r="B200" s="36" t="str">
        <f t="shared" si="39"/>
        <v>Q2</v>
      </c>
      <c r="C200" s="33">
        <f t="shared" si="40"/>
        <v>1</v>
      </c>
      <c r="D200" t="str">
        <f t="shared" si="35"/>
        <v>Round Rock Hyundai</v>
      </c>
      <c r="E200" t="str">
        <f>IF($J200="","",IFERROR(VLOOKUP($J200,KEY!$D$6:$F$76,3,FALSE),""))</f>
        <v>Texas</v>
      </c>
      <c r="F200" t="str">
        <f>IF($J200="","",IFERROR(VLOOKUP($J200,KEY!$D$6:$F$76,2,FALSE),""))</f>
        <v>Hyundai</v>
      </c>
      <c r="G200" t="str">
        <f t="shared" si="42"/>
        <v>Q2 Shop 1_Round Rock Hyundai</v>
      </c>
      <c r="H200" s="30">
        <f t="shared" si="43"/>
        <v>4</v>
      </c>
      <c r="I200" s="30">
        <f t="shared" si="44"/>
        <v>3</v>
      </c>
      <c r="J200" s="110" t="s">
        <v>166</v>
      </c>
      <c r="L200" t="s">
        <v>304</v>
      </c>
      <c r="M200" t="s">
        <v>57</v>
      </c>
      <c r="N200" t="s">
        <v>57</v>
      </c>
      <c r="O200" t="s">
        <v>57</v>
      </c>
      <c r="P200" t="s">
        <v>56</v>
      </c>
    </row>
    <row r="201" spans="1:16">
      <c r="A201" s="183" t="str">
        <f t="shared" si="41"/>
        <v>Q2 Shop 1</v>
      </c>
      <c r="B201" s="36" t="str">
        <f t="shared" si="39"/>
        <v>Q2</v>
      </c>
      <c r="C201" s="33">
        <f t="shared" si="40"/>
        <v>1</v>
      </c>
      <c r="D201" t="str">
        <f t="shared" si="35"/>
        <v>Round Rock Toyota</v>
      </c>
      <c r="E201" t="str">
        <f>IF($J201="","",IFERROR(VLOOKUP($J201,KEY!$D$6:$F$76,3,FALSE),""))</f>
        <v>Texas</v>
      </c>
      <c r="F201" t="str">
        <f>IF($J201="","",IFERROR(VLOOKUP($J201,KEY!$D$6:$F$76,2,FALSE),""))</f>
        <v>Toyota</v>
      </c>
      <c r="G201" t="str">
        <f t="shared" si="42"/>
        <v>Q2 Shop 1_Round Rock Toyota</v>
      </c>
      <c r="H201" s="30">
        <f t="shared" si="43"/>
        <v>4</v>
      </c>
      <c r="I201" s="30">
        <f t="shared" si="44"/>
        <v>4</v>
      </c>
      <c r="J201" s="110" t="s">
        <v>168</v>
      </c>
      <c r="L201" t="s">
        <v>305</v>
      </c>
      <c r="M201" t="s">
        <v>57</v>
      </c>
      <c r="N201" t="s">
        <v>57</v>
      </c>
      <c r="O201" t="s">
        <v>57</v>
      </c>
      <c r="P201" t="s">
        <v>57</v>
      </c>
    </row>
    <row r="202" spans="1:16">
      <c r="A202" s="183" t="str">
        <f t="shared" si="41"/>
        <v>Q2 Shop 1</v>
      </c>
      <c r="B202" s="36" t="str">
        <f t="shared" si="39"/>
        <v>Q2</v>
      </c>
      <c r="C202" s="33">
        <f t="shared" si="40"/>
        <v>1</v>
      </c>
      <c r="D202" t="str">
        <f t="shared" si="35"/>
        <v>East Madison Toyota</v>
      </c>
      <c r="E202" t="str">
        <f>IF($J202="","",IFERROR(VLOOKUP($J202,KEY!$D$6:$F$76,3,FALSE),""))</f>
        <v>Wisconsin</v>
      </c>
      <c r="F202" t="str">
        <f>IF($J202="","",IFERROR(VLOOKUP($J202,KEY!$D$6:$F$76,2,FALSE),""))</f>
        <v>Toyota</v>
      </c>
      <c r="G202" t="str">
        <f t="shared" si="42"/>
        <v>Q2 Shop 1_East Madison Toyota</v>
      </c>
      <c r="H202" s="30">
        <f t="shared" si="43"/>
        <v>4</v>
      </c>
      <c r="I202" s="30">
        <f t="shared" si="44"/>
        <v>4</v>
      </c>
      <c r="J202" s="110" t="s">
        <v>94</v>
      </c>
      <c r="L202" t="s">
        <v>306</v>
      </c>
      <c r="M202" t="s">
        <v>57</v>
      </c>
      <c r="N202" t="s">
        <v>57</v>
      </c>
      <c r="O202" t="s">
        <v>57</v>
      </c>
      <c r="P202" t="s">
        <v>57</v>
      </c>
    </row>
    <row r="203" spans="1:16">
      <c r="A203" s="183" t="str">
        <f t="shared" si="41"/>
        <v>Q2 Shop 1</v>
      </c>
      <c r="B203" s="36" t="str">
        <f t="shared" si="39"/>
        <v>Q2</v>
      </c>
      <c r="C203" s="33">
        <f t="shared" si="40"/>
        <v>1</v>
      </c>
      <c r="D203" t="str">
        <f t="shared" si="35"/>
        <v>Bentley Scottsdale</v>
      </c>
      <c r="E203" t="str">
        <f>IF($J203="","",IFERROR(VLOOKUP($J203,KEY!$D$6:$F$76,3,FALSE),""))</f>
        <v>Arizona</v>
      </c>
      <c r="F203" t="str">
        <f>IF($J203="","",IFERROR(VLOOKUP($J203,KEY!$D$6:$F$76,2,FALSE),""))</f>
        <v>Ultra</v>
      </c>
      <c r="G203" t="str">
        <f t="shared" si="42"/>
        <v>Q2 Shop 1_Bentley Scottsdale</v>
      </c>
      <c r="H203" s="30">
        <f t="shared" si="43"/>
        <v>4</v>
      </c>
      <c r="I203" s="30">
        <f t="shared" si="44"/>
        <v>4</v>
      </c>
      <c r="J203" s="110" t="s">
        <v>72</v>
      </c>
      <c r="L203" t="s">
        <v>307</v>
      </c>
      <c r="M203" t="s">
        <v>57</v>
      </c>
      <c r="N203" t="s">
        <v>57</v>
      </c>
      <c r="O203" t="s">
        <v>57</v>
      </c>
      <c r="P203" t="s">
        <v>57</v>
      </c>
    </row>
    <row r="204" spans="1:16">
      <c r="A204" s="183" t="str">
        <f t="shared" si="41"/>
        <v>Q2 Shop 1</v>
      </c>
      <c r="B204" s="36" t="str">
        <f t="shared" si="39"/>
        <v>Q2</v>
      </c>
      <c r="C204" s="33">
        <f t="shared" si="40"/>
        <v>1</v>
      </c>
      <c r="D204" t="str">
        <f t="shared" si="35"/>
        <v>Lamborghini North Scottsdale</v>
      </c>
      <c r="E204" t="str">
        <f>IF($J204="","",IFERROR(VLOOKUP($J204,KEY!$D$6:$F$76,3,FALSE),""))</f>
        <v>Arizona</v>
      </c>
      <c r="F204" t="str">
        <f>IF($J204="","",IFERROR(VLOOKUP($J204,KEY!$D$6:$F$76,2,FALSE),""))</f>
        <v>Ultra</v>
      </c>
      <c r="G204" t="str">
        <f t="shared" si="42"/>
        <v>Q2 Shop 1_Lamborghini North Scottsdale</v>
      </c>
      <c r="H204" s="30">
        <f t="shared" si="43"/>
        <v>4</v>
      </c>
      <c r="I204" s="30">
        <f t="shared" si="44"/>
        <v>3</v>
      </c>
      <c r="J204" s="110" t="s">
        <v>114</v>
      </c>
      <c r="L204" t="s">
        <v>308</v>
      </c>
      <c r="M204" t="s">
        <v>57</v>
      </c>
      <c r="N204" t="s">
        <v>56</v>
      </c>
      <c r="O204" t="s">
        <v>57</v>
      </c>
      <c r="P204" t="s">
        <v>57</v>
      </c>
    </row>
    <row r="205" spans="1:16">
      <c r="A205" s="183" t="str">
        <f t="shared" si="41"/>
        <v>Q2 Shop 1</v>
      </c>
      <c r="B205" s="36" t="str">
        <f t="shared" si="39"/>
        <v>Q2</v>
      </c>
      <c r="C205" s="33">
        <f t="shared" si="40"/>
        <v>1</v>
      </c>
      <c r="D205" t="str">
        <f t="shared" si="35"/>
        <v>Scottsdale Ferrari Maserati</v>
      </c>
      <c r="E205" t="str">
        <f>IF($J205="","",IFERROR(VLOOKUP($J205,KEY!$D$6:$F$76,3,FALSE),""))</f>
        <v>Arizona</v>
      </c>
      <c r="F205" t="str">
        <f>IF($J205="","",IFERROR(VLOOKUP($J205,KEY!$D$6:$F$76,2,FALSE),""))</f>
        <v>Ultra</v>
      </c>
      <c r="G205" t="str">
        <f t="shared" si="42"/>
        <v>Q2 Shop 1_Scottsdale Ferrari Maserati</v>
      </c>
      <c r="H205" s="30">
        <f t="shared" si="43"/>
        <v>4</v>
      </c>
      <c r="I205" s="30">
        <f t="shared" si="44"/>
        <v>3</v>
      </c>
      <c r="J205" s="6" t="s">
        <v>170</v>
      </c>
      <c r="L205" t="s">
        <v>309</v>
      </c>
      <c r="M205" t="s">
        <v>57</v>
      </c>
      <c r="N205" t="s">
        <v>57</v>
      </c>
      <c r="O205" t="s">
        <v>56</v>
      </c>
      <c r="P205" t="s">
        <v>57</v>
      </c>
    </row>
    <row r="206" spans="1:16">
      <c r="A206" s="183" t="str">
        <f t="shared" si="41"/>
        <v>Q2 Shop 1</v>
      </c>
      <c r="B206" s="36" t="str">
        <f t="shared" si="39"/>
        <v>Q2</v>
      </c>
      <c r="C206" s="33">
        <f t="shared" si="40"/>
        <v>1</v>
      </c>
      <c r="D206" t="str">
        <f t="shared" si="35"/>
        <v>Genesis of Noblesville</v>
      </c>
      <c r="E206" t="str">
        <f>IF($J206="","",IFERROR(VLOOKUP($J206,KEY!$D$6:$F$76,3,FALSE),""))</f>
        <v/>
      </c>
      <c r="F206" t="str">
        <f>IF($J206="","",IFERROR(VLOOKUP($J206,KEY!$D$6:$F$76,2,FALSE),""))</f>
        <v/>
      </c>
      <c r="G206" t="str">
        <f t="shared" si="42"/>
        <v>Q2 Shop 1_Genesis of Noblesville</v>
      </c>
      <c r="H206" s="30">
        <f t="shared" si="43"/>
        <v>4</v>
      </c>
      <c r="I206" s="30">
        <f t="shared" si="44"/>
        <v>3</v>
      </c>
      <c r="J206" s="110" t="s">
        <v>96</v>
      </c>
      <c r="L206" t="s">
        <v>310</v>
      </c>
      <c r="M206" t="s">
        <v>57</v>
      </c>
      <c r="N206" t="s">
        <v>56</v>
      </c>
      <c r="O206" t="s">
        <v>57</v>
      </c>
      <c r="P206" t="s">
        <v>57</v>
      </c>
    </row>
    <row r="207" spans="1:16">
      <c r="A207" s="183" t="str">
        <f t="shared" si="41"/>
        <v>Q2 Shop 1</v>
      </c>
      <c r="B207" s="36" t="str">
        <f t="shared" si="39"/>
        <v>Q2</v>
      </c>
      <c r="C207" s="33">
        <f t="shared" si="40"/>
        <v>1</v>
      </c>
      <c r="D207" t="str">
        <f t="shared" si="35"/>
        <v>Hyundai of Noblesville</v>
      </c>
      <c r="E207" t="str">
        <f>IF($J207="","",IFERROR(VLOOKUP($J207,KEY!$D$6:$F$76,3,FALSE),""))</f>
        <v/>
      </c>
      <c r="F207" t="str">
        <f>IF($J207="","",IFERROR(VLOOKUP($J207,KEY!$D$6:$F$76,2,FALSE),""))</f>
        <v/>
      </c>
      <c r="G207" t="str">
        <f t="shared" si="42"/>
        <v>Q2 Shop 1_Hyundai of Noblesville</v>
      </c>
      <c r="H207" s="30">
        <f t="shared" si="43"/>
        <v>4</v>
      </c>
      <c r="I207" s="30">
        <f t="shared" si="44"/>
        <v>4</v>
      </c>
      <c r="J207" s="110" t="s">
        <v>106</v>
      </c>
      <c r="L207" t="s">
        <v>311</v>
      </c>
      <c r="M207" t="s">
        <v>57</v>
      </c>
      <c r="N207" t="s">
        <v>57</v>
      </c>
      <c r="O207" t="s">
        <v>57</v>
      </c>
      <c r="P207" t="s">
        <v>57</v>
      </c>
    </row>
    <row r="208" spans="1:16">
      <c r="A208" s="183" t="str">
        <f t="shared" si="41"/>
        <v>Q2 Shop 1</v>
      </c>
      <c r="B208" s="36" t="str">
        <f t="shared" si="39"/>
        <v>Q2</v>
      </c>
      <c r="C208" s="33">
        <f t="shared" si="40"/>
        <v>1</v>
      </c>
      <c r="D208" t="str">
        <f t="shared" si="35"/>
        <v>BMW/MINI of Escondido</v>
      </c>
      <c r="E208" t="str">
        <f>IF($J208="","",IFERROR(VLOOKUP($J208,KEY!$D$6:$F$76,3,FALSE),""))</f>
        <v>Southern California</v>
      </c>
      <c r="F208" t="str">
        <f>IF($J208="","",IFERROR(VLOOKUP($J208,KEY!$D$6:$F$76,2,FALSE),""))</f>
        <v>BMW</v>
      </c>
      <c r="G208" t="str">
        <f t="shared" si="42"/>
        <v>Q2 Shop 1_BMW/MINI of Escondido</v>
      </c>
      <c r="H208" s="30">
        <f t="shared" si="43"/>
        <v>4</v>
      </c>
      <c r="I208" s="30">
        <f t="shared" si="44"/>
        <v>3</v>
      </c>
      <c r="J208" s="110" t="s">
        <v>84</v>
      </c>
      <c r="L208" t="s">
        <v>312</v>
      </c>
      <c r="M208" t="s">
        <v>57</v>
      </c>
      <c r="N208" t="s">
        <v>56</v>
      </c>
      <c r="O208" t="s">
        <v>57</v>
      </c>
      <c r="P208" t="s">
        <v>57</v>
      </c>
    </row>
    <row r="209" spans="1:22">
      <c r="A209" s="183" t="str">
        <f t="shared" si="41"/>
        <v>Q2 Shop 1</v>
      </c>
      <c r="B209" s="36" t="str">
        <f t="shared" si="39"/>
        <v>Q2</v>
      </c>
      <c r="C209" s="33">
        <f t="shared" si="40"/>
        <v>1</v>
      </c>
      <c r="D209" t="str">
        <f t="shared" ref="D209:D214" si="45">IF($J209="","",$J209)</f>
        <v/>
      </c>
      <c r="E209" t="str">
        <f>IF($J209="","",IFERROR(VLOOKUP($J209,KEY!$D$6:$F$76,3,FALSE),""))</f>
        <v/>
      </c>
      <c r="F209" t="str">
        <f>IF($J209="","",IFERROR(VLOOKUP($J209,KEY!$D$6:$F$76,2,FALSE),""))</f>
        <v/>
      </c>
      <c r="G209" t="str">
        <f t="shared" si="42"/>
        <v/>
      </c>
      <c r="H209" s="30" t="str">
        <f t="shared" ref="H209:H214" si="46">IF($J209="","",COUNTIF($M209:$V209,"*"))</f>
        <v/>
      </c>
      <c r="I209" s="30" t="str">
        <f t="shared" ref="I209:I214" si="47">IF($J209="","",COUNTIF($M209:$V209,"YES*"))</f>
        <v/>
      </c>
      <c r="J209" s="110"/>
    </row>
    <row r="210" spans="1:22">
      <c r="A210" s="183" t="str">
        <f t="shared" si="41"/>
        <v>Q2 Shop 1</v>
      </c>
      <c r="B210" s="36" t="str">
        <f t="shared" ref="B210:C214" si="48">B209</f>
        <v>Q2</v>
      </c>
      <c r="C210" s="33">
        <f t="shared" si="48"/>
        <v>1</v>
      </c>
      <c r="D210" t="str">
        <f t="shared" si="45"/>
        <v>Land Rover North Scottsdale</v>
      </c>
      <c r="E210" t="str">
        <f>IF($J210="","",IFERROR(VLOOKUP($J210,KEY!$D$6:$F$76,3,FALSE),""))</f>
        <v>Arizona</v>
      </c>
      <c r="F210" t="str">
        <f>IF($J210="","",IFERROR(VLOOKUP($J210,KEY!$D$6:$F$76,2,FALSE),""))</f>
        <v>LR</v>
      </c>
      <c r="G210" t="str">
        <f t="shared" si="42"/>
        <v>Q2 Shop 1_Land Rover North Scottsdale</v>
      </c>
      <c r="H210" s="30">
        <f t="shared" si="46"/>
        <v>4</v>
      </c>
      <c r="I210" s="30">
        <f t="shared" si="47"/>
        <v>4</v>
      </c>
      <c r="J210" s="110" t="s">
        <v>118</v>
      </c>
      <c r="M210" t="s">
        <v>57</v>
      </c>
      <c r="N210" t="s">
        <v>57</v>
      </c>
      <c r="O210" t="s">
        <v>57</v>
      </c>
      <c r="P210" t="s">
        <v>57</v>
      </c>
    </row>
    <row r="211" spans="1:22">
      <c r="A211" s="183" t="str">
        <f t="shared" si="41"/>
        <v>Q2 Shop 1</v>
      </c>
      <c r="B211" s="36" t="str">
        <f t="shared" si="48"/>
        <v>Q2</v>
      </c>
      <c r="C211" s="33">
        <f t="shared" si="48"/>
        <v>1</v>
      </c>
      <c r="D211" t="str">
        <f t="shared" si="45"/>
        <v/>
      </c>
      <c r="E211" t="str">
        <f>IF($J211="","",IFERROR(VLOOKUP($J211,KEY!$D$6:$F$76,3,FALSE),""))</f>
        <v/>
      </c>
      <c r="F211" t="str">
        <f>IF($J211="","",IFERROR(VLOOKUP($J211,KEY!$D$6:$F$76,2,FALSE),""))</f>
        <v/>
      </c>
      <c r="G211" t="str">
        <f t="shared" si="42"/>
        <v/>
      </c>
      <c r="H211" s="30" t="str">
        <f t="shared" si="46"/>
        <v/>
      </c>
      <c r="I211" s="30" t="str">
        <f t="shared" si="47"/>
        <v/>
      </c>
      <c r="J211" s="110"/>
    </row>
    <row r="212" spans="1:22">
      <c r="A212" s="183" t="str">
        <f t="shared" si="41"/>
        <v>Q2 Shop 1</v>
      </c>
      <c r="B212" s="36" t="str">
        <f t="shared" si="48"/>
        <v>Q2</v>
      </c>
      <c r="C212" s="33">
        <f t="shared" si="48"/>
        <v>1</v>
      </c>
      <c r="D212" t="str">
        <f t="shared" si="45"/>
        <v/>
      </c>
      <c r="E212" t="str">
        <f>IF($J212="","",IFERROR(VLOOKUP($J212,KEY!$D$6:$F$76,3,FALSE),""))</f>
        <v/>
      </c>
      <c r="F212" t="str">
        <f>IF($J212="","",IFERROR(VLOOKUP($J212,KEY!$D$6:$F$76,2,FALSE),""))</f>
        <v/>
      </c>
      <c r="G212" t="str">
        <f t="shared" si="42"/>
        <v/>
      </c>
      <c r="H212" s="30" t="str">
        <f t="shared" si="46"/>
        <v/>
      </c>
      <c r="I212" s="30" t="str">
        <f t="shared" si="47"/>
        <v/>
      </c>
      <c r="J212" s="110"/>
    </row>
    <row r="213" spans="1:22">
      <c r="A213" s="183" t="str">
        <f t="shared" si="41"/>
        <v>Q2 Shop 1</v>
      </c>
      <c r="B213" s="36" t="str">
        <f t="shared" si="48"/>
        <v>Q2</v>
      </c>
      <c r="C213" s="33">
        <f t="shared" si="48"/>
        <v>1</v>
      </c>
      <c r="D213" t="str">
        <f t="shared" si="45"/>
        <v/>
      </c>
      <c r="E213" t="str">
        <f>IF($J213="","",IFERROR(VLOOKUP($J213,KEY!$D$6:$F$76,3,FALSE),""))</f>
        <v/>
      </c>
      <c r="F213" t="str">
        <f>IF($J213="","",IFERROR(VLOOKUP($J213,KEY!$D$6:$F$76,2,FALSE),""))</f>
        <v/>
      </c>
      <c r="G213" t="str">
        <f t="shared" si="42"/>
        <v/>
      </c>
      <c r="H213" s="30" t="str">
        <f t="shared" si="46"/>
        <v/>
      </c>
      <c r="I213" s="30" t="str">
        <f t="shared" si="47"/>
        <v/>
      </c>
      <c r="J213" s="110"/>
    </row>
    <row r="214" spans="1:22">
      <c r="A214" s="183" t="str">
        <f t="shared" si="41"/>
        <v>Q2 Shop 1</v>
      </c>
      <c r="B214" s="36" t="str">
        <f t="shared" si="48"/>
        <v>Q2</v>
      </c>
      <c r="C214" s="33">
        <f t="shared" si="48"/>
        <v>1</v>
      </c>
      <c r="D214" t="str">
        <f t="shared" si="45"/>
        <v/>
      </c>
      <c r="E214" t="str">
        <f>IF($J214="","",IFERROR(VLOOKUP($J214,KEY!$D$6:$F$76,3,FALSE),""))</f>
        <v/>
      </c>
      <c r="F214" t="str">
        <f>IF($J214="","",IFERROR(VLOOKUP($J214,KEY!$D$6:$F$76,2,FALSE),""))</f>
        <v/>
      </c>
      <c r="G214" t="str">
        <f t="shared" si="42"/>
        <v/>
      </c>
      <c r="H214" s="30" t="str">
        <f t="shared" si="46"/>
        <v/>
      </c>
      <c r="I214" s="30" t="str">
        <f t="shared" si="47"/>
        <v/>
      </c>
      <c r="J214" s="110"/>
    </row>
    <row r="215" spans="1:22" ht="8.1" customHeight="1">
      <c r="A215" s="32"/>
      <c r="B215" s="37"/>
      <c r="C215" s="38"/>
      <c r="D215" s="32"/>
      <c r="E215" s="32"/>
      <c r="F215" s="32"/>
      <c r="G215" s="32" t="str">
        <f>A215&amp;"_"&amp;D215</f>
        <v>_</v>
      </c>
      <c r="H215" s="32"/>
      <c r="I215" s="32"/>
      <c r="J215" s="111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</row>
    <row r="216" spans="1:22">
      <c r="A216" s="23" t="str">
        <f t="shared" ref="A216:A225" si="49">B216&amp;" Shop "&amp;C216</f>
        <v>Q2 Shop 2</v>
      </c>
      <c r="B216" s="36" t="s">
        <v>249</v>
      </c>
      <c r="C216" s="33">
        <v>2</v>
      </c>
      <c r="D216" t="str">
        <f t="shared" ref="D216:D279" si="50">IF($J216="","",$J216)</f>
        <v>Acura North Scottsdale</v>
      </c>
      <c r="E216" t="str">
        <f>IF($J216="","",IFERROR(VLOOKUP($J216,KEY!$D$6:$F$76,3,FALSE),""))</f>
        <v>Arizona</v>
      </c>
      <c r="F216" t="str">
        <f>IF($J216="","",IFERROR(VLOOKUP($J216,KEY!$D$6:$F$76,2,FALSE),""))</f>
        <v>Acura</v>
      </c>
      <c r="G216" t="str">
        <f t="shared" ref="G216:G225" si="51">IF($J216="","",A216&amp;"_"&amp;D216)</f>
        <v>Q2 Shop 2_Acura North Scottsdale</v>
      </c>
      <c r="H216" s="30">
        <f t="shared" ref="H216:H247" si="52">IF($J216="","",COUNTIF($M216:$V216,"*"))</f>
        <v>4</v>
      </c>
      <c r="I216" s="30">
        <f t="shared" ref="I216:I247" si="53">IF($J216="","",COUNTIF($M216:$V216,"YES*"))</f>
        <v>4</v>
      </c>
      <c r="J216" s="110" t="s">
        <v>35</v>
      </c>
      <c r="L216" t="s">
        <v>313</v>
      </c>
      <c r="M216" t="s">
        <v>57</v>
      </c>
      <c r="N216" t="s">
        <v>57</v>
      </c>
      <c r="O216" t="s">
        <v>57</v>
      </c>
      <c r="P216" t="s">
        <v>57</v>
      </c>
    </row>
    <row r="217" spans="1:22">
      <c r="A217" s="23" t="str">
        <f t="shared" si="49"/>
        <v>Q2 Shop 2</v>
      </c>
      <c r="B217" s="36" t="str">
        <f t="shared" ref="B217:B280" si="54">B216</f>
        <v>Q2</v>
      </c>
      <c r="C217" s="33">
        <f t="shared" ref="C217:C280" si="55">C216</f>
        <v>2</v>
      </c>
      <c r="D217" t="str">
        <f t="shared" si="50"/>
        <v>Audi Chandler</v>
      </c>
      <c r="E217" t="str">
        <f>IF($J217="","",IFERROR(VLOOKUP($J217,KEY!$D$6:$F$76,3,FALSE),""))</f>
        <v>Arizona</v>
      </c>
      <c r="F217" t="str">
        <f>IF($J217="","",IFERROR(VLOOKUP($J217,KEY!$D$6:$F$76,2,FALSE),""))</f>
        <v>Audi</v>
      </c>
      <c r="G217" t="str">
        <f t="shared" si="51"/>
        <v>Q2 Shop 2_Audi Chandler</v>
      </c>
      <c r="H217" s="30">
        <f t="shared" si="52"/>
        <v>4</v>
      </c>
      <c r="I217" s="30">
        <f t="shared" si="53"/>
        <v>2</v>
      </c>
      <c r="J217" s="110" t="s">
        <v>60</v>
      </c>
      <c r="L217" t="s">
        <v>314</v>
      </c>
      <c r="M217" t="s">
        <v>56</v>
      </c>
      <c r="N217" t="s">
        <v>56</v>
      </c>
      <c r="O217" t="s">
        <v>57</v>
      </c>
      <c r="P217" t="s">
        <v>57</v>
      </c>
    </row>
    <row r="218" spans="1:22">
      <c r="A218" s="23" t="str">
        <f t="shared" si="49"/>
        <v>Q2 Shop 2</v>
      </c>
      <c r="B218" s="36" t="str">
        <f t="shared" si="54"/>
        <v>Q2</v>
      </c>
      <c r="C218" s="33">
        <f t="shared" si="55"/>
        <v>2</v>
      </c>
      <c r="D218" t="str">
        <f t="shared" si="50"/>
        <v>Audi North Scottsdale</v>
      </c>
      <c r="E218" t="str">
        <f>IF($J218="","",IFERROR(VLOOKUP($J218,KEY!$D$6:$F$76,3,FALSE),""))</f>
        <v>Arizona</v>
      </c>
      <c r="F218" t="str">
        <f>IF($J218="","",IFERROR(VLOOKUP($J218,KEY!$D$6:$F$76,2,FALSE),""))</f>
        <v>Audi</v>
      </c>
      <c r="G218" t="str">
        <f t="shared" si="51"/>
        <v>Q2 Shop 2_Audi North Scottsdale</v>
      </c>
      <c r="H218" s="30">
        <f t="shared" si="52"/>
        <v>4</v>
      </c>
      <c r="I218" s="30">
        <f t="shared" si="53"/>
        <v>2</v>
      </c>
      <c r="J218" s="110" t="s">
        <v>66</v>
      </c>
      <c r="L218" t="s">
        <v>315</v>
      </c>
      <c r="M218" t="s">
        <v>56</v>
      </c>
      <c r="N218" t="s">
        <v>56</v>
      </c>
      <c r="O218" t="s">
        <v>57</v>
      </c>
      <c r="P218" t="s">
        <v>57</v>
      </c>
    </row>
    <row r="219" spans="1:22">
      <c r="A219" s="23" t="str">
        <f t="shared" si="49"/>
        <v>Q2 Shop 2</v>
      </c>
      <c r="B219" s="36" t="str">
        <f t="shared" si="54"/>
        <v>Q2</v>
      </c>
      <c r="C219" s="33">
        <f t="shared" si="55"/>
        <v>2</v>
      </c>
      <c r="D219" t="str">
        <f t="shared" si="50"/>
        <v>Bentley Scottsdale</v>
      </c>
      <c r="E219" t="str">
        <f>IF($J219="","",IFERROR(VLOOKUP($J219,KEY!$D$6:$F$76,3,FALSE),""))</f>
        <v>Arizona</v>
      </c>
      <c r="F219" t="str">
        <f>IF($J219="","",IFERROR(VLOOKUP($J219,KEY!$D$6:$F$76,2,FALSE),""))</f>
        <v>Ultra</v>
      </c>
      <c r="G219" t="str">
        <f t="shared" si="51"/>
        <v>Q2 Shop 2_Bentley Scottsdale</v>
      </c>
      <c r="H219" s="30">
        <f t="shared" si="52"/>
        <v>4</v>
      </c>
      <c r="I219" s="30">
        <f t="shared" si="53"/>
        <v>4</v>
      </c>
      <c r="J219" s="110" t="s">
        <v>72</v>
      </c>
      <c r="L219" t="s">
        <v>316</v>
      </c>
      <c r="M219" t="s">
        <v>57</v>
      </c>
      <c r="N219" t="s">
        <v>57</v>
      </c>
      <c r="O219" t="s">
        <v>57</v>
      </c>
      <c r="P219" t="s">
        <v>57</v>
      </c>
    </row>
    <row r="220" spans="1:22">
      <c r="A220" s="23" t="str">
        <f t="shared" si="49"/>
        <v>Q2 Shop 2</v>
      </c>
      <c r="B220" s="36" t="str">
        <f t="shared" si="54"/>
        <v>Q2</v>
      </c>
      <c r="C220" s="33">
        <f t="shared" si="55"/>
        <v>2</v>
      </c>
      <c r="D220" t="str">
        <f t="shared" si="50"/>
        <v>BMW North Scottsdale</v>
      </c>
      <c r="E220" t="str">
        <f>IF($J220="","",IFERROR(VLOOKUP($J220,KEY!$D$6:$F$76,3,FALSE),""))</f>
        <v>Arizona</v>
      </c>
      <c r="F220" t="str">
        <f>IF($J220="","",IFERROR(VLOOKUP($J220,KEY!$D$6:$F$76,2,FALSE),""))</f>
        <v>BMW</v>
      </c>
      <c r="G220" t="str">
        <f t="shared" si="51"/>
        <v>Q2 Shop 2_BMW North Scottsdale</v>
      </c>
      <c r="H220" s="30">
        <f t="shared" si="52"/>
        <v>4</v>
      </c>
      <c r="I220" s="30">
        <f t="shared" si="53"/>
        <v>4</v>
      </c>
      <c r="J220" s="110" t="s">
        <v>74</v>
      </c>
      <c r="L220" t="s">
        <v>317</v>
      </c>
      <c r="M220" t="s">
        <v>57</v>
      </c>
      <c r="N220" t="s">
        <v>57</v>
      </c>
      <c r="O220" t="s">
        <v>57</v>
      </c>
      <c r="P220" t="s">
        <v>57</v>
      </c>
    </row>
    <row r="221" spans="1:22">
      <c r="A221" s="23" t="str">
        <f t="shared" si="49"/>
        <v>Q2 Shop 2</v>
      </c>
      <c r="B221" s="36" t="str">
        <f t="shared" si="54"/>
        <v>Q2</v>
      </c>
      <c r="C221" s="33">
        <f t="shared" si="55"/>
        <v>2</v>
      </c>
      <c r="D221" t="str">
        <f t="shared" si="50"/>
        <v>Lamborghini North Scottsdale</v>
      </c>
      <c r="E221" t="str">
        <f>IF($J221="","",IFERROR(VLOOKUP($J221,KEY!$D$6:$F$76,3,FALSE),""))</f>
        <v>Arizona</v>
      </c>
      <c r="F221" t="str">
        <f>IF($J221="","",IFERROR(VLOOKUP($J221,KEY!$D$6:$F$76,2,FALSE),""))</f>
        <v>Ultra</v>
      </c>
      <c r="G221" t="str">
        <f t="shared" si="51"/>
        <v>Q2 Shop 2_Lamborghini North Scottsdale</v>
      </c>
      <c r="H221" s="30">
        <f t="shared" si="52"/>
        <v>4</v>
      </c>
      <c r="I221" s="30">
        <f t="shared" si="53"/>
        <v>4</v>
      </c>
      <c r="J221" s="110" t="s">
        <v>114</v>
      </c>
      <c r="L221" t="s">
        <v>318</v>
      </c>
      <c r="M221" t="s">
        <v>57</v>
      </c>
      <c r="N221" t="s">
        <v>57</v>
      </c>
      <c r="O221" t="s">
        <v>57</v>
      </c>
      <c r="P221" t="s">
        <v>57</v>
      </c>
    </row>
    <row r="222" spans="1:22">
      <c r="A222" s="23" t="str">
        <f t="shared" si="49"/>
        <v>Q2 Shop 2</v>
      </c>
      <c r="B222" s="36" t="str">
        <f t="shared" si="54"/>
        <v>Q2</v>
      </c>
      <c r="C222" s="33">
        <f t="shared" si="55"/>
        <v>2</v>
      </c>
      <c r="D222" t="str">
        <f t="shared" si="50"/>
        <v>Land Rover Chandler</v>
      </c>
      <c r="E222" t="str">
        <f>IF($J222="","",IFERROR(VLOOKUP($J222,KEY!$D$6:$F$76,3,FALSE),""))</f>
        <v>Arizona</v>
      </c>
      <c r="F222" t="str">
        <f>IF($J222="","",IFERROR(VLOOKUP($J222,KEY!$D$6:$F$76,2,FALSE),""))</f>
        <v>LR</v>
      </c>
      <c r="G222" t="str">
        <f t="shared" si="51"/>
        <v>Q2 Shop 2_Land Rover Chandler</v>
      </c>
      <c r="H222" s="30">
        <f t="shared" si="52"/>
        <v>4</v>
      </c>
      <c r="I222" s="30">
        <f t="shared" si="53"/>
        <v>2</v>
      </c>
      <c r="J222" s="110" t="s">
        <v>116</v>
      </c>
      <c r="L222" t="s">
        <v>319</v>
      </c>
      <c r="M222" t="s">
        <v>56</v>
      </c>
      <c r="N222" t="s">
        <v>56</v>
      </c>
      <c r="O222" t="s">
        <v>57</v>
      </c>
      <c r="P222" t="s">
        <v>57</v>
      </c>
    </row>
    <row r="223" spans="1:22">
      <c r="A223" s="23" t="str">
        <f t="shared" si="49"/>
        <v>Q2 Shop 2</v>
      </c>
      <c r="B223" s="36" t="str">
        <f t="shared" si="54"/>
        <v>Q2</v>
      </c>
      <c r="C223" s="33">
        <f t="shared" si="55"/>
        <v>2</v>
      </c>
      <c r="D223" t="str">
        <f t="shared" si="50"/>
        <v>Land Rover North Scottsdale</v>
      </c>
      <c r="E223" t="str">
        <f>IF($J223="","",IFERROR(VLOOKUP($J223,KEY!$D$6:$F$76,3,FALSE),""))</f>
        <v>Arizona</v>
      </c>
      <c r="F223" t="str">
        <f>IF($J223="","",IFERROR(VLOOKUP($J223,KEY!$D$6:$F$76,2,FALSE),""))</f>
        <v>LR</v>
      </c>
      <c r="G223" t="str">
        <f t="shared" si="51"/>
        <v>Q2 Shop 2_Land Rover North Scottsdale</v>
      </c>
      <c r="H223" s="30">
        <f t="shared" si="52"/>
        <v>4</v>
      </c>
      <c r="I223" s="30">
        <f t="shared" si="53"/>
        <v>3</v>
      </c>
      <c r="J223" s="110" t="s">
        <v>118</v>
      </c>
      <c r="L223" t="s">
        <v>320</v>
      </c>
      <c r="M223" t="s">
        <v>57</v>
      </c>
      <c r="N223" t="s">
        <v>56</v>
      </c>
      <c r="O223" t="s">
        <v>57</v>
      </c>
      <c r="P223" t="s">
        <v>57</v>
      </c>
    </row>
    <row r="224" spans="1:22">
      <c r="A224" s="23" t="str">
        <f t="shared" si="49"/>
        <v>Q2 Shop 2</v>
      </c>
      <c r="B224" s="36" t="str">
        <f t="shared" si="54"/>
        <v>Q2</v>
      </c>
      <c r="C224" s="33">
        <f t="shared" si="55"/>
        <v>2</v>
      </c>
      <c r="D224" t="str">
        <f t="shared" si="50"/>
        <v>Lexus of Chandler</v>
      </c>
      <c r="E224" t="str">
        <f>IF($J224="","",IFERROR(VLOOKUP($J224,KEY!$D$6:$F$76,3,FALSE),""))</f>
        <v>Arizona</v>
      </c>
      <c r="F224" t="str">
        <f>IF($J224="","",IFERROR(VLOOKUP($J224,KEY!$D$6:$F$76,2,FALSE),""))</f>
        <v>Lexus</v>
      </c>
      <c r="G224" t="str">
        <f t="shared" si="51"/>
        <v>Q2 Shop 2_Lexus of Chandler</v>
      </c>
      <c r="H224" s="30">
        <f t="shared" si="52"/>
        <v>4</v>
      </c>
      <c r="I224" s="30">
        <f t="shared" si="53"/>
        <v>1</v>
      </c>
      <c r="J224" s="110" t="s">
        <v>122</v>
      </c>
      <c r="L224" t="s">
        <v>321</v>
      </c>
      <c r="M224" t="s">
        <v>56</v>
      </c>
      <c r="N224" t="s">
        <v>56</v>
      </c>
      <c r="O224" t="s">
        <v>56</v>
      </c>
      <c r="P224" t="s">
        <v>57</v>
      </c>
    </row>
    <row r="225" spans="1:16">
      <c r="A225" s="23" t="str">
        <f t="shared" si="49"/>
        <v>Q2 Shop 2</v>
      </c>
      <c r="B225" s="36" t="str">
        <f t="shared" si="54"/>
        <v>Q2</v>
      </c>
      <c r="C225" s="33">
        <f t="shared" si="55"/>
        <v>2</v>
      </c>
      <c r="D225" t="str">
        <f t="shared" si="50"/>
        <v>Mercedes-Benz of Chandler</v>
      </c>
      <c r="E225" t="str">
        <f>IF($J225="","",IFERROR(VLOOKUP($J225,KEY!$D$6:$F$76,3,FALSE),""))</f>
        <v>Arizona</v>
      </c>
      <c r="F225" t="str">
        <f>IF($J225="","",IFERROR(VLOOKUP($J225,KEY!$D$6:$F$76,2,FALSE),""))</f>
        <v>Mercedes-Benz</v>
      </c>
      <c r="G225" t="str">
        <f t="shared" si="51"/>
        <v>Q2 Shop 2_Mercedes-Benz of Chandler</v>
      </c>
      <c r="H225" s="30">
        <f t="shared" si="52"/>
        <v>4</v>
      </c>
      <c r="I225" s="30">
        <f t="shared" si="53"/>
        <v>3</v>
      </c>
      <c r="J225" s="110" t="s">
        <v>132</v>
      </c>
      <c r="L225" t="s">
        <v>322</v>
      </c>
      <c r="M225" t="s">
        <v>56</v>
      </c>
      <c r="N225" t="s">
        <v>57</v>
      </c>
      <c r="O225" t="s">
        <v>57</v>
      </c>
      <c r="P225" t="s">
        <v>57</v>
      </c>
    </row>
    <row r="226" spans="1:16">
      <c r="A226" s="23" t="str">
        <f t="shared" ref="A226:A285" si="56">B226&amp;" Shop "&amp;C226</f>
        <v>Q2 Shop 2</v>
      </c>
      <c r="B226" s="36" t="str">
        <f t="shared" si="54"/>
        <v>Q2</v>
      </c>
      <c r="C226" s="33">
        <f t="shared" si="55"/>
        <v>2</v>
      </c>
      <c r="D226" t="str">
        <f t="shared" si="50"/>
        <v>Mercedes-Benz of North Scottsdale</v>
      </c>
      <c r="E226" t="str">
        <f>IF($J226="","",IFERROR(VLOOKUP($J226,KEY!$D$6:$F$76,3,FALSE),""))</f>
        <v>Arizona</v>
      </c>
      <c r="F226" t="str">
        <f>IF($J226="","",IFERROR(VLOOKUP($J226,KEY!$D$6:$F$76,2,FALSE),""))</f>
        <v>Mercedes-Benz</v>
      </c>
      <c r="G226" t="str">
        <f t="shared" ref="G226:G285" si="57">IF($J226="","",A226&amp;"_"&amp;D226)</f>
        <v>Q2 Shop 2_Mercedes-Benz of North Scottsdale</v>
      </c>
      <c r="H226" s="30">
        <f t="shared" si="52"/>
        <v>4</v>
      </c>
      <c r="I226" s="30">
        <f t="shared" si="53"/>
        <v>4</v>
      </c>
      <c r="J226" s="110" t="s">
        <v>134</v>
      </c>
      <c r="L226" t="s">
        <v>323</v>
      </c>
      <c r="M226" t="s">
        <v>57</v>
      </c>
      <c r="N226" t="s">
        <v>57</v>
      </c>
      <c r="O226" t="s">
        <v>57</v>
      </c>
      <c r="P226" t="s">
        <v>57</v>
      </c>
    </row>
    <row r="227" spans="1:16">
      <c r="A227" s="23" t="str">
        <f t="shared" si="56"/>
        <v>Q2 Shop 2</v>
      </c>
      <c r="B227" s="36" t="str">
        <f t="shared" si="54"/>
        <v>Q2</v>
      </c>
      <c r="C227" s="33">
        <f t="shared" si="55"/>
        <v>2</v>
      </c>
      <c r="D227" t="str">
        <f t="shared" si="50"/>
        <v>MINI North Scottsdale</v>
      </c>
      <c r="E227" t="str">
        <f>IF($J227="","",IFERROR(VLOOKUP($J227,KEY!$D$6:$F$76,3,FALSE),""))</f>
        <v>Arizona</v>
      </c>
      <c r="F227" t="str">
        <f>IF($J227="","",IFERROR(VLOOKUP($J227,KEY!$D$6:$F$76,2,FALSE),""))</f>
        <v>MINI</v>
      </c>
      <c r="G227" t="str">
        <f t="shared" si="57"/>
        <v>Q2 Shop 2_MINI North Scottsdale</v>
      </c>
      <c r="H227" s="30">
        <f t="shared" si="52"/>
        <v>4</v>
      </c>
      <c r="I227" s="30">
        <f t="shared" si="53"/>
        <v>4</v>
      </c>
      <c r="J227" s="110" t="s">
        <v>138</v>
      </c>
      <c r="L227" t="s">
        <v>324</v>
      </c>
      <c r="M227" t="s">
        <v>57</v>
      </c>
      <c r="N227" t="s">
        <v>57</v>
      </c>
      <c r="O227" t="s">
        <v>57</v>
      </c>
      <c r="P227" t="s">
        <v>57</v>
      </c>
    </row>
    <row r="228" spans="1:16">
      <c r="A228" s="23" t="str">
        <f t="shared" si="56"/>
        <v>Q2 Shop 2</v>
      </c>
      <c r="B228" s="36" t="str">
        <f t="shared" si="54"/>
        <v>Q2</v>
      </c>
      <c r="C228" s="33">
        <f t="shared" si="55"/>
        <v>2</v>
      </c>
      <c r="D228" t="str">
        <f t="shared" si="50"/>
        <v>MINI of Tempe</v>
      </c>
      <c r="E228" t="str">
        <f>IF($J228="","",IFERROR(VLOOKUP($J228,KEY!$D$6:$F$76,3,FALSE),""))</f>
        <v>Arizona</v>
      </c>
      <c r="F228" t="str">
        <f>IF($J228="","",IFERROR(VLOOKUP($J228,KEY!$D$6:$F$76,2,FALSE),""))</f>
        <v>MINI</v>
      </c>
      <c r="G228" t="str">
        <f t="shared" si="57"/>
        <v>Q2 Shop 2_MINI of Tempe</v>
      </c>
      <c r="H228" s="30">
        <f t="shared" si="52"/>
        <v>4</v>
      </c>
      <c r="I228" s="30">
        <f t="shared" si="53"/>
        <v>4</v>
      </c>
      <c r="J228" s="110" t="s">
        <v>148</v>
      </c>
      <c r="L228" t="s">
        <v>325</v>
      </c>
      <c r="M228" t="s">
        <v>57</v>
      </c>
      <c r="N228" t="s">
        <v>57</v>
      </c>
      <c r="O228" t="s">
        <v>57</v>
      </c>
      <c r="P228" t="s">
        <v>57</v>
      </c>
    </row>
    <row r="229" spans="1:16">
      <c r="A229" s="23" t="str">
        <f t="shared" si="56"/>
        <v>Q2 Shop 2</v>
      </c>
      <c r="B229" s="36" t="str">
        <f t="shared" si="54"/>
        <v>Q2</v>
      </c>
      <c r="C229" s="33">
        <f t="shared" si="55"/>
        <v>2</v>
      </c>
      <c r="D229" t="str">
        <f t="shared" si="50"/>
        <v>Porsche North Scottsdale</v>
      </c>
      <c r="E229" t="str">
        <f>IF($J229="","",IFERROR(VLOOKUP($J229,KEY!$D$6:$F$76,3,FALSE),""))</f>
        <v>Arizona</v>
      </c>
      <c r="F229" t="str">
        <f>IF($J229="","",IFERROR(VLOOKUP($J229,KEY!$D$6:$F$76,2,FALSE),""))</f>
        <v>Porsche</v>
      </c>
      <c r="G229" t="str">
        <f t="shared" si="57"/>
        <v>Q2 Shop 2_Porsche North Scottsdale</v>
      </c>
      <c r="H229" s="30">
        <f t="shared" si="52"/>
        <v>4</v>
      </c>
      <c r="I229" s="30">
        <f t="shared" si="53"/>
        <v>2</v>
      </c>
      <c r="J229" s="110" t="s">
        <v>160</v>
      </c>
      <c r="L229" t="s">
        <v>326</v>
      </c>
      <c r="M229" t="s">
        <v>57</v>
      </c>
      <c r="N229" t="s">
        <v>56</v>
      </c>
      <c r="O229" t="s">
        <v>57</v>
      </c>
      <c r="P229" t="s">
        <v>56</v>
      </c>
    </row>
    <row r="230" spans="1:16">
      <c r="A230" s="23" t="str">
        <f t="shared" si="56"/>
        <v>Q2 Shop 2</v>
      </c>
      <c r="B230" s="36" t="str">
        <f t="shared" si="54"/>
        <v>Q2</v>
      </c>
      <c r="C230" s="33">
        <f t="shared" si="55"/>
        <v>2</v>
      </c>
      <c r="D230" t="str">
        <f t="shared" si="50"/>
        <v>Scottsdale Ferrari Maserati</v>
      </c>
      <c r="E230" t="str">
        <f>IF($J230="","",IFERROR(VLOOKUP($J230,KEY!$D$6:$F$76,3,FALSE),""))</f>
        <v>Arizona</v>
      </c>
      <c r="F230" t="str">
        <f>IF($J230="","",IFERROR(VLOOKUP($J230,KEY!$D$6:$F$76,2,FALSE),""))</f>
        <v>Ultra</v>
      </c>
      <c r="G230" t="str">
        <f t="shared" si="57"/>
        <v>Q2 Shop 2_Scottsdale Ferrari Maserati</v>
      </c>
      <c r="H230" s="30">
        <f t="shared" si="52"/>
        <v>4</v>
      </c>
      <c r="I230" s="30">
        <f t="shared" si="53"/>
        <v>1</v>
      </c>
      <c r="J230" s="110" t="s">
        <v>170</v>
      </c>
      <c r="L230" t="s">
        <v>327</v>
      </c>
      <c r="M230" t="s">
        <v>57</v>
      </c>
      <c r="N230" t="s">
        <v>56</v>
      </c>
      <c r="O230" t="s">
        <v>56</v>
      </c>
      <c r="P230" t="s">
        <v>56</v>
      </c>
    </row>
    <row r="231" spans="1:16">
      <c r="A231" s="23" t="str">
        <f t="shared" si="56"/>
        <v>Q2 Shop 2</v>
      </c>
      <c r="B231" s="36" t="str">
        <f t="shared" si="54"/>
        <v>Q2</v>
      </c>
      <c r="C231" s="33">
        <f t="shared" si="55"/>
        <v>2</v>
      </c>
      <c r="D231" t="str">
        <f t="shared" si="50"/>
        <v>Tempe Honda</v>
      </c>
      <c r="E231" t="str">
        <f>IF($J231="","",IFERROR(VLOOKUP($J231,KEY!$D$6:$F$76,3,FALSE),""))</f>
        <v>Arizona</v>
      </c>
      <c r="F231" t="str">
        <f>IF($J231="","",IFERROR(VLOOKUP($J231,KEY!$D$6:$F$76,2,FALSE),""))</f>
        <v>Honda</v>
      </c>
      <c r="G231" t="str">
        <f t="shared" si="57"/>
        <v>Q2 Shop 2_Tempe Honda</v>
      </c>
      <c r="H231" s="30">
        <f t="shared" si="52"/>
        <v>4</v>
      </c>
      <c r="I231" s="30">
        <f t="shared" si="53"/>
        <v>3</v>
      </c>
      <c r="J231" s="110" t="s">
        <v>174</v>
      </c>
      <c r="L231" t="s">
        <v>328</v>
      </c>
      <c r="M231" t="s">
        <v>57</v>
      </c>
      <c r="N231" t="s">
        <v>56</v>
      </c>
      <c r="O231" t="s">
        <v>57</v>
      </c>
      <c r="P231" t="s">
        <v>57</v>
      </c>
    </row>
    <row r="232" spans="1:16">
      <c r="A232" s="23" t="str">
        <f t="shared" si="56"/>
        <v>Q2 Shop 2</v>
      </c>
      <c r="B232" s="36" t="str">
        <f t="shared" si="54"/>
        <v>Q2</v>
      </c>
      <c r="C232" s="33">
        <f t="shared" si="55"/>
        <v>2</v>
      </c>
      <c r="D232" t="str">
        <f t="shared" si="50"/>
        <v>Toyota of Surprise</v>
      </c>
      <c r="E232" t="str">
        <f>IF($J232="","",IFERROR(VLOOKUP($J232,KEY!$D$6:$F$76,3,FALSE),""))</f>
        <v>Arizona</v>
      </c>
      <c r="F232" t="str">
        <f>IF($J232="","",IFERROR(VLOOKUP($J232,KEY!$D$6:$F$76,2,FALSE),""))</f>
        <v>Toyota</v>
      </c>
      <c r="G232" t="str">
        <f t="shared" si="57"/>
        <v>Q2 Shop 2_Toyota of Surprise</v>
      </c>
      <c r="H232" s="30">
        <f t="shared" si="52"/>
        <v>4</v>
      </c>
      <c r="I232" s="30">
        <f t="shared" si="53"/>
        <v>4</v>
      </c>
      <c r="J232" s="110" t="s">
        <v>178</v>
      </c>
      <c r="L232" t="s">
        <v>329</v>
      </c>
      <c r="M232" t="s">
        <v>57</v>
      </c>
      <c r="N232" t="s">
        <v>57</v>
      </c>
      <c r="O232" t="s">
        <v>57</v>
      </c>
      <c r="P232" t="s">
        <v>57</v>
      </c>
    </row>
    <row r="233" spans="1:16">
      <c r="A233" s="23" t="str">
        <f t="shared" si="56"/>
        <v>Q2 Shop 2</v>
      </c>
      <c r="B233" s="36" t="str">
        <f t="shared" si="54"/>
        <v>Q2</v>
      </c>
      <c r="C233" s="33">
        <f t="shared" si="55"/>
        <v>2</v>
      </c>
      <c r="D233" t="str">
        <f t="shared" si="50"/>
        <v>Volkswagen North Scottsdale</v>
      </c>
      <c r="E233" t="str">
        <f>IF($J233="","",IFERROR(VLOOKUP($J233,KEY!$D$6:$F$76,3,FALSE),""))</f>
        <v>Arizona</v>
      </c>
      <c r="F233" t="str">
        <f>IF($J233="","",IFERROR(VLOOKUP($J233,KEY!$D$6:$F$76,2,FALSE),""))</f>
        <v>Volkswagen</v>
      </c>
      <c r="G233" t="str">
        <f t="shared" si="57"/>
        <v>Q2 Shop 2_Volkswagen North Scottsdale</v>
      </c>
      <c r="H233" s="30">
        <f t="shared" si="52"/>
        <v>4</v>
      </c>
      <c r="I233" s="30">
        <f t="shared" si="53"/>
        <v>4</v>
      </c>
      <c r="J233" s="110" t="s">
        <v>180</v>
      </c>
      <c r="L233" t="s">
        <v>330</v>
      </c>
      <c r="M233" t="s">
        <v>57</v>
      </c>
      <c r="N233" t="s">
        <v>57</v>
      </c>
      <c r="O233" t="s">
        <v>57</v>
      </c>
      <c r="P233" t="s">
        <v>57</v>
      </c>
    </row>
    <row r="234" spans="1:16">
      <c r="A234" s="23" t="str">
        <f t="shared" si="56"/>
        <v>Q2 Shop 2</v>
      </c>
      <c r="B234" s="36" t="str">
        <f t="shared" si="54"/>
        <v>Q2</v>
      </c>
      <c r="C234" s="33">
        <f t="shared" si="55"/>
        <v>2</v>
      </c>
      <c r="D234" t="str">
        <f t="shared" si="50"/>
        <v>Audi San Jose</v>
      </c>
      <c r="E234" t="str">
        <f>IF($J234="","",IFERROR(VLOOKUP($J234,KEY!$D$6:$F$76,3,FALSE),""))</f>
        <v>Northern California</v>
      </c>
      <c r="F234" t="str">
        <f>IF($J234="","",IFERROR(VLOOKUP($J234,KEY!$D$6:$F$76,2,FALSE),""))</f>
        <v>Audi</v>
      </c>
      <c r="G234" t="str">
        <f t="shared" si="57"/>
        <v>Q2 Shop 2_Audi San Jose</v>
      </c>
      <c r="H234" s="30">
        <f t="shared" si="52"/>
        <v>4</v>
      </c>
      <c r="I234" s="30">
        <f t="shared" si="53"/>
        <v>4</v>
      </c>
      <c r="J234" s="110" t="s">
        <v>68</v>
      </c>
      <c r="L234" t="s">
        <v>331</v>
      </c>
      <c r="M234" t="s">
        <v>57</v>
      </c>
      <c r="N234" t="s">
        <v>57</v>
      </c>
      <c r="O234" t="s">
        <v>57</v>
      </c>
      <c r="P234" t="s">
        <v>57</v>
      </c>
    </row>
    <row r="235" spans="1:16">
      <c r="A235" s="23" t="str">
        <f t="shared" si="56"/>
        <v>Q2 Shop 2</v>
      </c>
      <c r="B235" s="36" t="str">
        <f t="shared" si="54"/>
        <v>Q2</v>
      </c>
      <c r="C235" s="33">
        <f t="shared" si="55"/>
        <v>2</v>
      </c>
      <c r="D235" t="str">
        <f t="shared" si="50"/>
        <v>Capitol Honda</v>
      </c>
      <c r="E235" t="str">
        <f>IF($J235="","",IFERROR(VLOOKUP($J235,KEY!$D$6:$F$76,3,FALSE),""))</f>
        <v>Northern California</v>
      </c>
      <c r="F235" t="str">
        <f>IF($J235="","",IFERROR(VLOOKUP($J235,KEY!$D$6:$F$76,2,FALSE),""))</f>
        <v>Honda</v>
      </c>
      <c r="G235" t="str">
        <f t="shared" si="57"/>
        <v>Q2 Shop 2_Capitol Honda</v>
      </c>
      <c r="H235" s="30">
        <f t="shared" si="52"/>
        <v>4</v>
      </c>
      <c r="I235" s="30">
        <f t="shared" si="53"/>
        <v>4</v>
      </c>
      <c r="J235" s="110" t="s">
        <v>88</v>
      </c>
      <c r="L235" t="s">
        <v>332</v>
      </c>
      <c r="M235" t="s">
        <v>57</v>
      </c>
      <c r="N235" t="s">
        <v>57</v>
      </c>
      <c r="O235" t="s">
        <v>57</v>
      </c>
      <c r="P235" t="s">
        <v>57</v>
      </c>
    </row>
    <row r="236" spans="1:16">
      <c r="A236" s="23" t="str">
        <f t="shared" si="56"/>
        <v>Q2 Shop 2</v>
      </c>
      <c r="B236" s="36" t="str">
        <f t="shared" si="54"/>
        <v>Q2</v>
      </c>
      <c r="C236" s="33">
        <f t="shared" si="55"/>
        <v>2</v>
      </c>
      <c r="D236" t="str">
        <f t="shared" si="50"/>
        <v>Honda North</v>
      </c>
      <c r="E236" t="str">
        <f>IF($J236="","",IFERROR(VLOOKUP($J236,KEY!$D$6:$F$76,3,FALSE),""))</f>
        <v>Northern California</v>
      </c>
      <c r="F236" t="str">
        <f>IF($J236="","",IFERROR(VLOOKUP($J236,KEY!$D$6:$F$76,2,FALSE),""))</f>
        <v>Honda</v>
      </c>
      <c r="G236" t="str">
        <f t="shared" si="57"/>
        <v>Q2 Shop 2_Honda North</v>
      </c>
      <c r="H236" s="30">
        <f t="shared" si="52"/>
        <v>4</v>
      </c>
      <c r="I236" s="30">
        <f t="shared" si="53"/>
        <v>1</v>
      </c>
      <c r="J236" s="110" t="s">
        <v>102</v>
      </c>
      <c r="L236" t="s">
        <v>333</v>
      </c>
      <c r="M236" t="s">
        <v>57</v>
      </c>
      <c r="N236" t="s">
        <v>56</v>
      </c>
      <c r="O236" t="s">
        <v>56</v>
      </c>
      <c r="P236" t="s">
        <v>56</v>
      </c>
    </row>
    <row r="237" spans="1:16">
      <c r="A237" s="23" t="str">
        <f t="shared" si="56"/>
        <v>Q2 Shop 2</v>
      </c>
      <c r="B237" s="36" t="str">
        <f t="shared" si="54"/>
        <v>Q2</v>
      </c>
      <c r="C237" s="33">
        <f t="shared" si="55"/>
        <v>2</v>
      </c>
      <c r="D237" t="str">
        <f t="shared" si="50"/>
        <v>Capitol Acura</v>
      </c>
      <c r="E237" t="str">
        <f>IF($J237="","",IFERROR(VLOOKUP($J237,KEY!$D$6:$F$76,3,FALSE),""))</f>
        <v>Northern California</v>
      </c>
      <c r="F237" t="str">
        <f>IF($J237="","",IFERROR(VLOOKUP($J237,KEY!$D$6:$F$76,2,FALSE),""))</f>
        <v>Acura</v>
      </c>
      <c r="G237" t="str">
        <f t="shared" si="57"/>
        <v>Q2 Shop 2_Capitol Acura</v>
      </c>
      <c r="H237" s="30">
        <f t="shared" si="52"/>
        <v>4</v>
      </c>
      <c r="I237" s="30">
        <f t="shared" si="53"/>
        <v>2</v>
      </c>
      <c r="J237" s="110" t="s">
        <v>86</v>
      </c>
      <c r="L237" t="s">
        <v>334</v>
      </c>
      <c r="M237" t="s">
        <v>57</v>
      </c>
      <c r="N237" t="s">
        <v>56</v>
      </c>
      <c r="O237" t="s">
        <v>56</v>
      </c>
      <c r="P237" t="s">
        <v>57</v>
      </c>
    </row>
    <row r="238" spans="1:16">
      <c r="A238" s="23" t="str">
        <f t="shared" si="56"/>
        <v>Q2 Shop 2</v>
      </c>
      <c r="B238" s="36" t="str">
        <f t="shared" si="54"/>
        <v>Q2</v>
      </c>
      <c r="C238" s="33">
        <f t="shared" si="55"/>
        <v>2</v>
      </c>
      <c r="D238" t="str">
        <f t="shared" si="50"/>
        <v>MINI of Marin</v>
      </c>
      <c r="E238" t="str">
        <f>IF($J238="","",IFERROR(VLOOKUP($J238,KEY!$D$6:$F$76,3,FALSE),""))</f>
        <v>Northern California</v>
      </c>
      <c r="F238" t="str">
        <f>IF($J238="","",IFERROR(VLOOKUP($J238,KEY!$D$6:$F$76,2,FALSE),""))</f>
        <v>MINI</v>
      </c>
      <c r="G238" t="str">
        <f t="shared" si="57"/>
        <v>Q2 Shop 2_MINI of Marin</v>
      </c>
      <c r="H238" s="30">
        <f t="shared" si="52"/>
        <v>4</v>
      </c>
      <c r="I238" s="30">
        <f t="shared" si="53"/>
        <v>4</v>
      </c>
      <c r="J238" s="110" t="s">
        <v>142</v>
      </c>
      <c r="L238" t="s">
        <v>335</v>
      </c>
      <c r="M238" t="s">
        <v>57</v>
      </c>
      <c r="N238" t="s">
        <v>57</v>
      </c>
      <c r="O238" t="s">
        <v>57</v>
      </c>
      <c r="P238" t="s">
        <v>57</v>
      </c>
    </row>
    <row r="239" spans="1:16">
      <c r="A239" s="23" t="str">
        <f t="shared" si="56"/>
        <v>Q2 Shop 2</v>
      </c>
      <c r="B239" s="36" t="str">
        <f t="shared" si="54"/>
        <v>Q2</v>
      </c>
      <c r="C239" s="33">
        <f t="shared" si="55"/>
        <v>2</v>
      </c>
      <c r="D239" t="str">
        <f t="shared" si="50"/>
        <v>Peter Pan BMW</v>
      </c>
      <c r="E239" t="str">
        <f>IF($J239="","",IFERROR(VLOOKUP($J239,KEY!$D$6:$F$76,3,FALSE),""))</f>
        <v>Northern California</v>
      </c>
      <c r="F239" t="str">
        <f>IF($J239="","",IFERROR(VLOOKUP($J239,KEY!$D$6:$F$76,2,FALSE),""))</f>
        <v>BMW</v>
      </c>
      <c r="G239" t="str">
        <f t="shared" si="57"/>
        <v>Q2 Shop 2_Peter Pan BMW</v>
      </c>
      <c r="H239" s="30">
        <f t="shared" si="52"/>
        <v>4</v>
      </c>
      <c r="I239" s="30">
        <f t="shared" si="53"/>
        <v>2</v>
      </c>
      <c r="J239" s="110" t="s">
        <v>158</v>
      </c>
      <c r="L239" t="s">
        <v>336</v>
      </c>
      <c r="M239" t="s">
        <v>57</v>
      </c>
      <c r="N239" t="s">
        <v>56</v>
      </c>
      <c r="O239" t="s">
        <v>56</v>
      </c>
      <c r="P239" t="s">
        <v>57</v>
      </c>
    </row>
    <row r="240" spans="1:16">
      <c r="A240" s="23" t="str">
        <f t="shared" si="56"/>
        <v>Q2 Shop 2</v>
      </c>
      <c r="B240" s="36" t="str">
        <f t="shared" si="54"/>
        <v>Q2</v>
      </c>
      <c r="C240" s="33">
        <f t="shared" si="55"/>
        <v>2</v>
      </c>
      <c r="D240" t="str">
        <f t="shared" si="50"/>
        <v>Porsche Stevens Creek</v>
      </c>
      <c r="E240" t="str">
        <f>IF($J240="","",IFERROR(VLOOKUP($J240,KEY!$D$6:$F$76,3,FALSE),""))</f>
        <v>Northern California</v>
      </c>
      <c r="F240" t="str">
        <f>IF($J240="","",IFERROR(VLOOKUP($J240,KEY!$D$6:$F$76,2,FALSE),""))</f>
        <v>Porsche</v>
      </c>
      <c r="G240" t="str">
        <f t="shared" si="57"/>
        <v>Q2 Shop 2_Porsche Stevens Creek</v>
      </c>
      <c r="H240" s="30">
        <f t="shared" si="52"/>
        <v>4</v>
      </c>
      <c r="I240" s="30">
        <f t="shared" si="53"/>
        <v>3</v>
      </c>
      <c r="J240" s="110" t="s">
        <v>162</v>
      </c>
      <c r="L240" t="s">
        <v>337</v>
      </c>
      <c r="M240" t="s">
        <v>56</v>
      </c>
      <c r="N240" t="s">
        <v>57</v>
      </c>
      <c r="O240" t="s">
        <v>57</v>
      </c>
      <c r="P240" t="s">
        <v>57</v>
      </c>
    </row>
    <row r="241" spans="1:16">
      <c r="A241" s="23" t="str">
        <f t="shared" si="56"/>
        <v>Q2 Shop 2</v>
      </c>
      <c r="B241" s="36" t="str">
        <f t="shared" si="54"/>
        <v>Q2</v>
      </c>
      <c r="C241" s="33">
        <f t="shared" si="55"/>
        <v>2</v>
      </c>
      <c r="D241" t="str">
        <f t="shared" si="50"/>
        <v>Toyota of Clovis</v>
      </c>
      <c r="E241" t="str">
        <f>IF($J241="","",IFERROR(VLOOKUP($J241,KEY!$D$6:$F$76,3,FALSE),""))</f>
        <v>Northern California</v>
      </c>
      <c r="F241" t="str">
        <f>IF($J241="","",IFERROR(VLOOKUP($J241,KEY!$D$6:$F$76,2,FALSE),""))</f>
        <v>Toyota</v>
      </c>
      <c r="G241" t="str">
        <f t="shared" si="57"/>
        <v>Q2 Shop 2_Toyota of Clovis</v>
      </c>
      <c r="H241" s="30">
        <f t="shared" si="52"/>
        <v>4</v>
      </c>
      <c r="I241" s="30">
        <f t="shared" si="53"/>
        <v>4</v>
      </c>
      <c r="J241" s="110" t="s">
        <v>176</v>
      </c>
      <c r="L241" t="s">
        <v>338</v>
      </c>
      <c r="M241" t="s">
        <v>57</v>
      </c>
      <c r="N241" t="s">
        <v>57</v>
      </c>
      <c r="O241" t="s">
        <v>57</v>
      </c>
      <c r="P241" t="s">
        <v>57</v>
      </c>
    </row>
    <row r="242" spans="1:16" hidden="1">
      <c r="A242" s="23" t="str">
        <f t="shared" si="56"/>
        <v>Q2 Shop 2</v>
      </c>
      <c r="B242" s="36" t="str">
        <f t="shared" si="54"/>
        <v>Q2</v>
      </c>
      <c r="C242" s="33">
        <f t="shared" si="55"/>
        <v>2</v>
      </c>
      <c r="D242" t="str">
        <f t="shared" si="50"/>
        <v/>
      </c>
      <c r="E242" t="str">
        <f>IF($J242="","",IFERROR(VLOOKUP($J242,KEY!$D$6:$F$76,3,FALSE),""))</f>
        <v/>
      </c>
      <c r="F242" t="str">
        <f>IF($J242="","",IFERROR(VLOOKUP($J242,KEY!$D$6:$F$76,2,FALSE),""))</f>
        <v/>
      </c>
      <c r="G242" t="str">
        <f t="shared" si="57"/>
        <v/>
      </c>
      <c r="H242" s="30" t="str">
        <f t="shared" si="52"/>
        <v/>
      </c>
      <c r="I242" s="30" t="str">
        <f t="shared" si="53"/>
        <v/>
      </c>
      <c r="J242" s="110"/>
    </row>
    <row r="243" spans="1:16">
      <c r="A243" s="23" t="str">
        <f t="shared" si="56"/>
        <v>Q2 Shop 2</v>
      </c>
      <c r="B243" s="36" t="str">
        <f t="shared" si="54"/>
        <v>Q2</v>
      </c>
      <c r="C243" s="33">
        <f t="shared" si="55"/>
        <v>2</v>
      </c>
      <c r="D243" t="str">
        <f t="shared" si="50"/>
        <v>BMW of Bloomfield Hills</v>
      </c>
      <c r="E243" t="str">
        <f>IF($J243="","",IFERROR(VLOOKUP($J243,KEY!$D$6:$F$76,3,FALSE),""))</f>
        <v>Michigan &amp; Minnesota</v>
      </c>
      <c r="F243" t="str">
        <f>IF($J243="","",IFERROR(VLOOKUP($J243,KEY!$D$6:$F$76,2,FALSE),""))</f>
        <v>BMW</v>
      </c>
      <c r="G243" t="str">
        <f t="shared" si="57"/>
        <v>Q2 Shop 2_BMW of Bloomfield Hills</v>
      </c>
      <c r="H243" s="30">
        <f t="shared" si="52"/>
        <v>4</v>
      </c>
      <c r="I243" s="30">
        <f t="shared" si="53"/>
        <v>0</v>
      </c>
      <c r="J243" s="110" t="s">
        <v>78</v>
      </c>
      <c r="L243" t="s">
        <v>339</v>
      </c>
      <c r="M243" t="s">
        <v>56</v>
      </c>
      <c r="N243" t="s">
        <v>56</v>
      </c>
      <c r="O243" t="s">
        <v>56</v>
      </c>
      <c r="P243" t="s">
        <v>56</v>
      </c>
    </row>
    <row r="244" spans="1:16">
      <c r="A244" s="23" t="str">
        <f t="shared" si="56"/>
        <v>Q2 Shop 2</v>
      </c>
      <c r="B244" s="36" t="str">
        <f t="shared" si="54"/>
        <v>Q2</v>
      </c>
      <c r="C244" s="33">
        <f t="shared" si="55"/>
        <v>2</v>
      </c>
      <c r="D244" t="str">
        <f t="shared" si="50"/>
        <v>Motorwerks BMW</v>
      </c>
      <c r="E244" t="str">
        <f>IF($J244="","",IFERROR(VLOOKUP($J244,KEY!$D$6:$F$76,3,FALSE),""))</f>
        <v>Michigan &amp; Minnesota</v>
      </c>
      <c r="F244" t="str">
        <f>IF($J244="","",IFERROR(VLOOKUP($J244,KEY!$D$6:$F$76,2,FALSE),""))</f>
        <v>BMW</v>
      </c>
      <c r="G244" t="str">
        <f t="shared" si="57"/>
        <v>Q2 Shop 2_Motorwerks BMW</v>
      </c>
      <c r="H244" s="30">
        <f t="shared" si="52"/>
        <v>4</v>
      </c>
      <c r="I244" s="30">
        <f t="shared" si="53"/>
        <v>3</v>
      </c>
      <c r="J244" s="110" t="s">
        <v>150</v>
      </c>
      <c r="L244" t="s">
        <v>340</v>
      </c>
      <c r="M244" t="s">
        <v>57</v>
      </c>
      <c r="N244" t="s">
        <v>57</v>
      </c>
      <c r="O244" t="s">
        <v>57</v>
      </c>
      <c r="P244" t="s">
        <v>56</v>
      </c>
    </row>
    <row r="245" spans="1:16">
      <c r="A245" s="23" t="str">
        <f t="shared" si="56"/>
        <v>Q2 Shop 2</v>
      </c>
      <c r="B245" s="36" t="str">
        <f t="shared" si="54"/>
        <v>Q2</v>
      </c>
      <c r="C245" s="33">
        <f t="shared" si="55"/>
        <v>2</v>
      </c>
      <c r="D245" t="str">
        <f t="shared" si="50"/>
        <v>Motorwerks MINI</v>
      </c>
      <c r="E245" t="str">
        <f>IF($J245="","",IFERROR(VLOOKUP($J245,KEY!$D$6:$F$76,3,FALSE),""))</f>
        <v>Michigan &amp; Minnesota</v>
      </c>
      <c r="F245" t="str">
        <f>IF($J245="","",IFERROR(VLOOKUP($J245,KEY!$D$6:$F$76,2,FALSE),""))</f>
        <v>MINI</v>
      </c>
      <c r="G245" t="str">
        <f t="shared" si="57"/>
        <v>Q2 Shop 2_Motorwerks MINI</v>
      </c>
      <c r="H245" s="30">
        <f t="shared" si="52"/>
        <v>4</v>
      </c>
      <c r="I245" s="30">
        <f t="shared" si="53"/>
        <v>2</v>
      </c>
      <c r="J245" s="110" t="s">
        <v>152</v>
      </c>
      <c r="L245" t="s">
        <v>341</v>
      </c>
      <c r="M245" t="s">
        <v>56</v>
      </c>
      <c r="N245" t="s">
        <v>57</v>
      </c>
      <c r="O245" t="s">
        <v>57</v>
      </c>
      <c r="P245" t="s">
        <v>56</v>
      </c>
    </row>
    <row r="246" spans="1:16">
      <c r="A246" s="23" t="str">
        <f t="shared" si="56"/>
        <v>Q2 Shop 2</v>
      </c>
      <c r="B246" s="36" t="str">
        <f t="shared" si="54"/>
        <v>Q2</v>
      </c>
      <c r="C246" s="33">
        <f t="shared" si="55"/>
        <v>2</v>
      </c>
      <c r="D246" t="str">
        <f t="shared" si="50"/>
        <v>East Madison Toyota</v>
      </c>
      <c r="E246" t="str">
        <f>IF($J246="","",IFERROR(VLOOKUP($J246,KEY!$D$6:$F$76,3,FALSE),""))</f>
        <v>Wisconsin</v>
      </c>
      <c r="F246" t="str">
        <f>IF($J246="","",IFERROR(VLOOKUP($J246,KEY!$D$6:$F$76,2,FALSE),""))</f>
        <v>Toyota</v>
      </c>
      <c r="G246" t="str">
        <f t="shared" si="57"/>
        <v>Q2 Shop 2_East Madison Toyota</v>
      </c>
      <c r="H246" s="30">
        <f t="shared" si="52"/>
        <v>4</v>
      </c>
      <c r="I246" s="30">
        <f t="shared" si="53"/>
        <v>4</v>
      </c>
      <c r="J246" s="110" t="s">
        <v>94</v>
      </c>
      <c r="L246" t="s">
        <v>342</v>
      </c>
      <c r="M246" t="s">
        <v>57</v>
      </c>
      <c r="N246" t="s">
        <v>57</v>
      </c>
      <c r="O246" t="s">
        <v>57</v>
      </c>
      <c r="P246" t="s">
        <v>57</v>
      </c>
    </row>
    <row r="247" spans="1:16">
      <c r="A247" s="23" t="str">
        <f t="shared" si="56"/>
        <v>Q2 Shop 2</v>
      </c>
      <c r="B247" s="36" t="str">
        <f t="shared" si="54"/>
        <v>Q2</v>
      </c>
      <c r="C247" s="33">
        <f t="shared" si="55"/>
        <v>2</v>
      </c>
      <c r="D247" t="str">
        <f t="shared" si="50"/>
        <v>Penske Honda</v>
      </c>
      <c r="E247" t="str">
        <f>IF($J247="","",IFERROR(VLOOKUP($J247,KEY!$D$6:$F$76,3,FALSE),""))</f>
        <v>Indiana</v>
      </c>
      <c r="F247" t="str">
        <f>IF($J247="","",IFERROR(VLOOKUP($J247,KEY!$D$6:$F$76,2,FALSE),""))</f>
        <v>Honda</v>
      </c>
      <c r="G247" t="str">
        <f t="shared" si="57"/>
        <v>Q2 Shop 2_Penske Honda</v>
      </c>
      <c r="H247" s="30">
        <f t="shared" si="52"/>
        <v>4</v>
      </c>
      <c r="I247" s="30">
        <f t="shared" si="53"/>
        <v>2</v>
      </c>
      <c r="J247" s="110" t="s">
        <v>156</v>
      </c>
      <c r="L247" t="s">
        <v>343</v>
      </c>
      <c r="M247" t="s">
        <v>56</v>
      </c>
      <c r="N247" t="s">
        <v>57</v>
      </c>
      <c r="O247" t="s">
        <v>57</v>
      </c>
      <c r="P247" t="s">
        <v>56</v>
      </c>
    </row>
    <row r="248" spans="1:16">
      <c r="A248" s="23" t="str">
        <f t="shared" si="56"/>
        <v>Q2 Shop 2</v>
      </c>
      <c r="B248" s="36" t="str">
        <f t="shared" si="54"/>
        <v>Q2</v>
      </c>
      <c r="C248" s="33">
        <f t="shared" si="55"/>
        <v>2</v>
      </c>
      <c r="D248" t="str">
        <f t="shared" si="50"/>
        <v>Penske Chevrolet</v>
      </c>
      <c r="E248" t="str">
        <f>IF($J248="","",IFERROR(VLOOKUP($J248,KEY!$D$6:$F$76,3,FALSE),""))</f>
        <v>Indiana</v>
      </c>
      <c r="F248" t="str">
        <f>IF($J248="","",IFERROR(VLOOKUP($J248,KEY!$D$6:$F$76,2,FALSE),""))</f>
        <v>Chevrolet</v>
      </c>
      <c r="G248" t="str">
        <f t="shared" si="57"/>
        <v>Q2 Shop 2_Penske Chevrolet</v>
      </c>
      <c r="H248" s="30">
        <f t="shared" ref="H248:H279" si="58">IF($J248="","",COUNTIF($M248:$V248,"*"))</f>
        <v>4</v>
      </c>
      <c r="I248" s="30">
        <f t="shared" ref="I248:I279" si="59">IF($J248="","",COUNTIF($M248:$V248,"YES*"))</f>
        <v>4</v>
      </c>
      <c r="J248" s="110" t="s">
        <v>154</v>
      </c>
      <c r="L248" t="s">
        <v>344</v>
      </c>
      <c r="M248" t="s">
        <v>57</v>
      </c>
      <c r="N248" t="s">
        <v>57</v>
      </c>
      <c r="O248" t="s">
        <v>57</v>
      </c>
      <c r="P248" t="s">
        <v>57</v>
      </c>
    </row>
    <row r="249" spans="1:16">
      <c r="A249" s="23" t="str">
        <f t="shared" si="56"/>
        <v>Q2 Shop 2</v>
      </c>
      <c r="B249" s="36" t="str">
        <f t="shared" si="54"/>
        <v>Q2</v>
      </c>
      <c r="C249" s="33">
        <f t="shared" si="55"/>
        <v>2</v>
      </c>
      <c r="D249" t="str">
        <f t="shared" si="50"/>
        <v>Hyundai of Noblesville</v>
      </c>
      <c r="E249" t="str">
        <f>IF($J249="","",IFERROR(VLOOKUP($J249,KEY!$D$6:$F$76,3,FALSE),""))</f>
        <v/>
      </c>
      <c r="F249" t="str">
        <f>IF($J249="","",IFERROR(VLOOKUP($J249,KEY!$D$6:$F$76,2,FALSE),""))</f>
        <v/>
      </c>
      <c r="G249" t="str">
        <f t="shared" si="57"/>
        <v>Q2 Shop 2_Hyundai of Noblesville</v>
      </c>
      <c r="H249" s="30">
        <f t="shared" si="58"/>
        <v>4</v>
      </c>
      <c r="I249" s="30">
        <f t="shared" si="59"/>
        <v>2</v>
      </c>
      <c r="J249" s="110" t="s">
        <v>106</v>
      </c>
      <c r="L249" t="s">
        <v>345</v>
      </c>
      <c r="M249" t="s">
        <v>56</v>
      </c>
      <c r="N249" t="s">
        <v>56</v>
      </c>
      <c r="O249" t="s">
        <v>57</v>
      </c>
      <c r="P249" t="s">
        <v>57</v>
      </c>
    </row>
    <row r="250" spans="1:16">
      <c r="A250" s="23" t="str">
        <f t="shared" si="56"/>
        <v>Q2 Shop 2</v>
      </c>
      <c r="B250" s="36" t="str">
        <f t="shared" si="54"/>
        <v>Q2</v>
      </c>
      <c r="C250" s="33">
        <f t="shared" si="55"/>
        <v>2</v>
      </c>
      <c r="D250" t="str">
        <f t="shared" si="50"/>
        <v>Genesis of Noblesville</v>
      </c>
      <c r="E250" t="str">
        <f>IF($J250="","",IFERROR(VLOOKUP($J250,KEY!$D$6:$F$76,3,FALSE),""))</f>
        <v/>
      </c>
      <c r="F250" t="str">
        <f>IF($J250="","",IFERROR(VLOOKUP($J250,KEY!$D$6:$F$76,2,FALSE),""))</f>
        <v/>
      </c>
      <c r="G250" t="str">
        <f t="shared" si="57"/>
        <v>Q2 Shop 2_Genesis of Noblesville</v>
      </c>
      <c r="H250" s="30">
        <f t="shared" si="58"/>
        <v>4</v>
      </c>
      <c r="I250" s="30">
        <f t="shared" si="59"/>
        <v>2</v>
      </c>
      <c r="J250" s="110" t="s">
        <v>96</v>
      </c>
      <c r="L250" t="s">
        <v>346</v>
      </c>
      <c r="M250" t="s">
        <v>57</v>
      </c>
      <c r="N250" t="s">
        <v>56</v>
      </c>
      <c r="O250" t="s">
        <v>57</v>
      </c>
      <c r="P250" t="s">
        <v>56</v>
      </c>
    </row>
    <row r="251" spans="1:16">
      <c r="A251" s="23" t="str">
        <f t="shared" si="56"/>
        <v>Q2 Shop 2</v>
      </c>
      <c r="B251" s="36" t="str">
        <f t="shared" si="54"/>
        <v>Q2</v>
      </c>
      <c r="C251" s="33">
        <f t="shared" si="55"/>
        <v>2</v>
      </c>
      <c r="D251" t="str">
        <f t="shared" si="50"/>
        <v>Audi North OC</v>
      </c>
      <c r="E251" t="str">
        <f>IF($J251="","",IFERROR(VLOOKUP($J251,KEY!$D$6:$F$76,3,FALSE),""))</f>
        <v>Orange County</v>
      </c>
      <c r="F251" t="str">
        <f>IF($J251="","",IFERROR(VLOOKUP($J251,KEY!$D$6:$F$76,2,FALSE),""))</f>
        <v>Audi</v>
      </c>
      <c r="G251" t="str">
        <f t="shared" si="57"/>
        <v>Q2 Shop 2_Audi North OC</v>
      </c>
      <c r="H251" s="30">
        <f t="shared" si="58"/>
        <v>4</v>
      </c>
      <c r="I251" s="30">
        <f t="shared" si="59"/>
        <v>2</v>
      </c>
      <c r="J251" s="110" t="s">
        <v>64</v>
      </c>
      <c r="L251" t="s">
        <v>347</v>
      </c>
      <c r="M251" t="s">
        <v>56</v>
      </c>
      <c r="N251" t="s">
        <v>56</v>
      </c>
      <c r="O251" t="s">
        <v>57</v>
      </c>
      <c r="P251" t="s">
        <v>57</v>
      </c>
    </row>
    <row r="252" spans="1:16">
      <c r="A252" s="23" t="str">
        <f t="shared" si="56"/>
        <v>Q2 Shop 2</v>
      </c>
      <c r="B252" s="36" t="str">
        <f t="shared" si="54"/>
        <v>Q2</v>
      </c>
      <c r="C252" s="33">
        <f t="shared" si="55"/>
        <v>2</v>
      </c>
      <c r="D252" t="str">
        <f t="shared" si="50"/>
        <v>Audi South Coast</v>
      </c>
      <c r="E252" t="str">
        <f>IF($J252="","",IFERROR(VLOOKUP($J252,KEY!$D$6:$F$76,3,FALSE),""))</f>
        <v>Orange County</v>
      </c>
      <c r="F252" t="str">
        <f>IF($J252="","",IFERROR(VLOOKUP($J252,KEY!$D$6:$F$76,2,FALSE),""))</f>
        <v>Audi</v>
      </c>
      <c r="G252" t="str">
        <f t="shared" si="57"/>
        <v>Q2 Shop 2_Audi South Coast</v>
      </c>
      <c r="H252" s="30">
        <f t="shared" si="58"/>
        <v>4</v>
      </c>
      <c r="I252" s="30">
        <f t="shared" si="59"/>
        <v>4</v>
      </c>
      <c r="J252" s="110" t="s">
        <v>70</v>
      </c>
      <c r="L252" t="s">
        <v>348</v>
      </c>
      <c r="M252" t="s">
        <v>57</v>
      </c>
      <c r="N252" t="s">
        <v>57</v>
      </c>
      <c r="O252" t="s">
        <v>57</v>
      </c>
      <c r="P252" t="s">
        <v>57</v>
      </c>
    </row>
    <row r="253" spans="1:16">
      <c r="A253" s="23" t="str">
        <f t="shared" si="56"/>
        <v>Q2 Shop 2</v>
      </c>
      <c r="B253" s="36" t="str">
        <f t="shared" si="54"/>
        <v>Q2</v>
      </c>
      <c r="C253" s="33">
        <f t="shared" si="55"/>
        <v>2</v>
      </c>
      <c r="D253" t="str">
        <f t="shared" si="50"/>
        <v>BMW of Ontario</v>
      </c>
      <c r="E253" t="str">
        <f>IF($J253="","",IFERROR(VLOOKUP($J253,KEY!$D$6:$F$76,3,FALSE),""))</f>
        <v>Orange County</v>
      </c>
      <c r="F253" t="str">
        <f>IF($J253="","",IFERROR(VLOOKUP($J253,KEY!$D$6:$F$76,2,FALSE),""))</f>
        <v>BMW</v>
      </c>
      <c r="G253" t="str">
        <f t="shared" si="57"/>
        <v>Q2 Shop 2_BMW of Ontario</v>
      </c>
      <c r="H253" s="30">
        <f t="shared" si="58"/>
        <v>4</v>
      </c>
      <c r="I253" s="30">
        <f t="shared" si="59"/>
        <v>3</v>
      </c>
      <c r="J253" s="110" t="s">
        <v>80</v>
      </c>
      <c r="L253" t="s">
        <v>349</v>
      </c>
      <c r="M253" t="s">
        <v>56</v>
      </c>
      <c r="N253" t="s">
        <v>57</v>
      </c>
      <c r="O253" t="s">
        <v>57</v>
      </c>
      <c r="P253" t="s">
        <v>57</v>
      </c>
    </row>
    <row r="254" spans="1:16">
      <c r="A254" s="23" t="str">
        <f t="shared" si="56"/>
        <v>Q2 Shop 2</v>
      </c>
      <c r="B254" s="36" t="str">
        <f t="shared" si="54"/>
        <v>Q2</v>
      </c>
      <c r="C254" s="33">
        <f t="shared" si="55"/>
        <v>2</v>
      </c>
      <c r="D254" t="str">
        <f t="shared" si="50"/>
        <v>Crevier BMW</v>
      </c>
      <c r="E254" t="str">
        <f>IF($J254="","",IFERROR(VLOOKUP($J254,KEY!$D$6:$F$76,3,FALSE),""))</f>
        <v>Orange County</v>
      </c>
      <c r="F254" t="str">
        <f>IF($J254="","",IFERROR(VLOOKUP($J254,KEY!$D$6:$F$76,2,FALSE),""))</f>
        <v>BMW</v>
      </c>
      <c r="G254" t="str">
        <f t="shared" si="57"/>
        <v>Q2 Shop 2_Crevier BMW</v>
      </c>
      <c r="H254" s="30">
        <f t="shared" si="58"/>
        <v>4</v>
      </c>
      <c r="I254" s="30">
        <f t="shared" si="59"/>
        <v>4</v>
      </c>
      <c r="J254" s="110" t="s">
        <v>90</v>
      </c>
      <c r="L254" t="s">
        <v>350</v>
      </c>
      <c r="M254" t="s">
        <v>57</v>
      </c>
      <c r="N254" t="s">
        <v>57</v>
      </c>
      <c r="O254" t="s">
        <v>57</v>
      </c>
      <c r="P254" t="s">
        <v>57</v>
      </c>
    </row>
    <row r="255" spans="1:16">
      <c r="A255" s="23" t="str">
        <f t="shared" si="56"/>
        <v>Q2 Shop 2</v>
      </c>
      <c r="B255" s="36" t="str">
        <f t="shared" si="54"/>
        <v>Q2</v>
      </c>
      <c r="C255" s="33">
        <f t="shared" si="55"/>
        <v>2</v>
      </c>
      <c r="D255" t="str">
        <f t="shared" si="50"/>
        <v>Crevier MINI</v>
      </c>
      <c r="E255" t="str">
        <f>IF($J255="","",IFERROR(VLOOKUP($J255,KEY!$D$6:$F$76,3,FALSE),""))</f>
        <v>Orange County</v>
      </c>
      <c r="F255" t="str">
        <f>IF($J255="","",IFERROR(VLOOKUP($J255,KEY!$D$6:$F$76,2,FALSE),""))</f>
        <v>MINI</v>
      </c>
      <c r="G255" t="str">
        <f t="shared" si="57"/>
        <v>Q2 Shop 2_Crevier MINI</v>
      </c>
      <c r="H255" s="30">
        <f t="shared" si="58"/>
        <v>4</v>
      </c>
      <c r="I255" s="30">
        <f t="shared" si="59"/>
        <v>4</v>
      </c>
      <c r="J255" s="110" t="s">
        <v>92</v>
      </c>
      <c r="L255" t="s">
        <v>351</v>
      </c>
      <c r="M255" t="s">
        <v>57</v>
      </c>
      <c r="N255" t="s">
        <v>57</v>
      </c>
      <c r="O255" t="s">
        <v>57</v>
      </c>
      <c r="P255" t="s">
        <v>57</v>
      </c>
    </row>
    <row r="256" spans="1:16">
      <c r="A256" s="23" t="str">
        <f t="shared" si="56"/>
        <v>Q2 Shop 2</v>
      </c>
      <c r="B256" s="36" t="str">
        <f t="shared" si="54"/>
        <v>Q2</v>
      </c>
      <c r="C256" s="33">
        <f t="shared" si="55"/>
        <v>2</v>
      </c>
      <c r="D256" t="str">
        <f t="shared" si="50"/>
        <v>Lincoln South Coast</v>
      </c>
      <c r="E256" t="str">
        <f>IF($J256="","",IFERROR(VLOOKUP($J256,KEY!$D$6:$F$76,3,FALSE),""))</f>
        <v>Orange County</v>
      </c>
      <c r="F256" t="str">
        <f>IF($J256="","",IFERROR(VLOOKUP($J256,KEY!$D$6:$F$76,2,FALSE),""))</f>
        <v>Lincoln</v>
      </c>
      <c r="G256" t="str">
        <f t="shared" si="57"/>
        <v>Q2 Shop 2_Lincoln South Coast</v>
      </c>
      <c r="H256" s="30">
        <f t="shared" si="58"/>
        <v>4</v>
      </c>
      <c r="I256" s="30">
        <f t="shared" si="59"/>
        <v>4</v>
      </c>
      <c r="J256" s="110" t="s">
        <v>128</v>
      </c>
      <c r="L256" t="s">
        <v>352</v>
      </c>
      <c r="M256" t="s">
        <v>57</v>
      </c>
      <c r="N256" t="s">
        <v>57</v>
      </c>
      <c r="O256" t="s">
        <v>57</v>
      </c>
      <c r="P256" t="s">
        <v>57</v>
      </c>
    </row>
    <row r="257" spans="1:16">
      <c r="A257" s="23" t="str">
        <f t="shared" si="56"/>
        <v>Q2 Shop 2</v>
      </c>
      <c r="B257" s="36" t="str">
        <f t="shared" si="54"/>
        <v>Q2</v>
      </c>
      <c r="C257" s="33">
        <f t="shared" si="55"/>
        <v>2</v>
      </c>
      <c r="D257" t="str">
        <f t="shared" si="50"/>
        <v>MINI of Ontario</v>
      </c>
      <c r="E257" t="str">
        <f>IF($J257="","",IFERROR(VLOOKUP($J257,KEY!$D$6:$F$76,3,FALSE),""))</f>
        <v>Orange County</v>
      </c>
      <c r="F257" t="str">
        <f>IF($J257="","",IFERROR(VLOOKUP($J257,KEY!$D$6:$F$76,2,FALSE),""))</f>
        <v>MINI</v>
      </c>
      <c r="G257" t="str">
        <f t="shared" si="57"/>
        <v>Q2 Shop 2_MINI of Ontario</v>
      </c>
      <c r="H257" s="30">
        <f t="shared" si="58"/>
        <v>4</v>
      </c>
      <c r="I257" s="30">
        <f t="shared" si="59"/>
        <v>4</v>
      </c>
      <c r="J257" s="110" t="s">
        <v>144</v>
      </c>
      <c r="L257" t="s">
        <v>353</v>
      </c>
      <c r="M257" t="s">
        <v>57</v>
      </c>
      <c r="N257" t="s">
        <v>57</v>
      </c>
      <c r="O257" t="s">
        <v>57</v>
      </c>
      <c r="P257" t="s">
        <v>57</v>
      </c>
    </row>
    <row r="258" spans="1:16">
      <c r="A258" s="23" t="str">
        <f t="shared" si="56"/>
        <v>Q2 Shop 2</v>
      </c>
      <c r="B258" s="36" t="str">
        <f t="shared" si="54"/>
        <v>Q2</v>
      </c>
      <c r="C258" s="33">
        <f t="shared" si="55"/>
        <v>2</v>
      </c>
      <c r="D258" t="str">
        <f t="shared" si="50"/>
        <v>Subaru Orange Coast</v>
      </c>
      <c r="E258" t="str">
        <f>IF($J258="","",IFERROR(VLOOKUP($J258,KEY!$D$6:$F$76,3,FALSE),""))</f>
        <v>Orange County</v>
      </c>
      <c r="F258" t="str">
        <f>IF($J258="","",IFERROR(VLOOKUP($J258,KEY!$D$6:$F$76,2,FALSE),""))</f>
        <v>Subaru</v>
      </c>
      <c r="G258" t="str">
        <f t="shared" si="57"/>
        <v>Q2 Shop 2_Subaru Orange Coast</v>
      </c>
      <c r="H258" s="30">
        <f t="shared" si="58"/>
        <v>4</v>
      </c>
      <c r="I258" s="30">
        <f t="shared" si="59"/>
        <v>2</v>
      </c>
      <c r="J258" s="110" t="s">
        <v>172</v>
      </c>
      <c r="L258" t="s">
        <v>354</v>
      </c>
      <c r="M258" t="s">
        <v>57</v>
      </c>
      <c r="N258" t="s">
        <v>56</v>
      </c>
      <c r="O258" t="s">
        <v>57</v>
      </c>
      <c r="P258" t="s">
        <v>56</v>
      </c>
    </row>
    <row r="259" spans="1:16">
      <c r="A259" s="23" t="str">
        <f t="shared" si="56"/>
        <v>Q2 Shop 2</v>
      </c>
      <c r="B259" s="36" t="str">
        <f t="shared" si="54"/>
        <v>Q2</v>
      </c>
      <c r="C259" s="33">
        <f t="shared" si="55"/>
        <v>2</v>
      </c>
      <c r="D259" t="str">
        <f t="shared" si="50"/>
        <v>Volkswagen South Coast</v>
      </c>
      <c r="E259" t="str">
        <f>IF($J259="","",IFERROR(VLOOKUP($J259,KEY!$D$6:$F$76,3,FALSE),""))</f>
        <v>Orange County</v>
      </c>
      <c r="F259" t="str">
        <f>IF($J259="","",IFERROR(VLOOKUP($J259,KEY!$D$6:$F$76,2,FALSE),""))</f>
        <v>Volkswagen</v>
      </c>
      <c r="G259" t="str">
        <f t="shared" si="57"/>
        <v>Q2 Shop 2_Volkswagen South Coast</v>
      </c>
      <c r="H259" s="30">
        <f t="shared" si="58"/>
        <v>4</v>
      </c>
      <c r="I259" s="30">
        <f t="shared" si="59"/>
        <v>3</v>
      </c>
      <c r="J259" s="110" t="s">
        <v>182</v>
      </c>
      <c r="L259" t="s">
        <v>355</v>
      </c>
      <c r="M259" t="s">
        <v>57</v>
      </c>
      <c r="N259" t="s">
        <v>56</v>
      </c>
      <c r="O259" t="s">
        <v>57</v>
      </c>
      <c r="P259" t="s">
        <v>57</v>
      </c>
    </row>
    <row r="260" spans="1:16">
      <c r="A260" s="23" t="str">
        <f t="shared" si="56"/>
        <v>Q2 Shop 2</v>
      </c>
      <c r="B260" s="36" t="str">
        <f t="shared" si="54"/>
        <v>Q2</v>
      </c>
      <c r="C260" s="33">
        <f t="shared" si="55"/>
        <v>2</v>
      </c>
      <c r="D260" t="str">
        <f t="shared" si="50"/>
        <v>Acura of Escondido</v>
      </c>
      <c r="E260" t="str">
        <f>IF($J260="","",IFERROR(VLOOKUP($J260,KEY!$D$6:$F$76,3,FALSE),""))</f>
        <v>Southern California</v>
      </c>
      <c r="F260" t="str">
        <f>IF($J260="","",IFERROR(VLOOKUP($J260,KEY!$D$6:$F$76,2,FALSE),""))</f>
        <v>Acura</v>
      </c>
      <c r="G260" t="str">
        <f t="shared" si="57"/>
        <v>Q2 Shop 2_Acura of Escondido</v>
      </c>
      <c r="H260" s="30">
        <f t="shared" si="58"/>
        <v>4</v>
      </c>
      <c r="I260" s="30">
        <f t="shared" si="59"/>
        <v>3</v>
      </c>
      <c r="J260" s="110" t="s">
        <v>58</v>
      </c>
      <c r="L260" t="s">
        <v>356</v>
      </c>
      <c r="M260" t="s">
        <v>57</v>
      </c>
      <c r="N260" t="s">
        <v>56</v>
      </c>
      <c r="O260" t="s">
        <v>57</v>
      </c>
      <c r="P260" t="s">
        <v>57</v>
      </c>
    </row>
    <row r="261" spans="1:16">
      <c r="A261" s="23" t="str">
        <f t="shared" si="56"/>
        <v>Q2 Shop 2</v>
      </c>
      <c r="B261" s="36" t="str">
        <f t="shared" si="54"/>
        <v>Q2</v>
      </c>
      <c r="C261" s="33">
        <f t="shared" si="55"/>
        <v>2</v>
      </c>
      <c r="D261" t="str">
        <f t="shared" si="50"/>
        <v>Audi Escondido</v>
      </c>
      <c r="E261" t="str">
        <f>IF($J261="","",IFERROR(VLOOKUP($J261,KEY!$D$6:$F$76,3,FALSE),""))</f>
        <v>Southern California</v>
      </c>
      <c r="F261" t="str">
        <f>IF($J261="","",IFERROR(VLOOKUP($J261,KEY!$D$6:$F$76,2,FALSE),""))</f>
        <v>Audi</v>
      </c>
      <c r="G261" t="str">
        <f t="shared" si="57"/>
        <v>Q2 Shop 2_Audi Escondido</v>
      </c>
      <c r="H261" s="30">
        <f t="shared" si="58"/>
        <v>4</v>
      </c>
      <c r="I261" s="30">
        <f t="shared" si="59"/>
        <v>3</v>
      </c>
      <c r="J261" s="110" t="s">
        <v>62</v>
      </c>
      <c r="L261" t="s">
        <v>357</v>
      </c>
      <c r="M261" t="s">
        <v>57</v>
      </c>
      <c r="N261" t="s">
        <v>56</v>
      </c>
      <c r="O261" t="s">
        <v>57</v>
      </c>
      <c r="P261" t="s">
        <v>57</v>
      </c>
    </row>
    <row r="262" spans="1:16">
      <c r="A262" s="23" t="str">
        <f t="shared" si="56"/>
        <v>Q2 Shop 2</v>
      </c>
      <c r="B262" s="36" t="str">
        <f t="shared" si="54"/>
        <v>Q2</v>
      </c>
      <c r="C262" s="33">
        <f t="shared" si="55"/>
        <v>2</v>
      </c>
      <c r="D262" t="str">
        <f t="shared" si="50"/>
        <v>BMW/MINI of Escondido</v>
      </c>
      <c r="E262" t="str">
        <f>IF($J262="","",IFERROR(VLOOKUP($J262,KEY!$D$6:$F$76,3,FALSE),""))</f>
        <v>Southern California</v>
      </c>
      <c r="F262" t="str">
        <f>IF($J262="","",IFERROR(VLOOKUP($J262,KEY!$D$6:$F$76,2,FALSE),""))</f>
        <v>BMW</v>
      </c>
      <c r="G262" t="str">
        <f t="shared" si="57"/>
        <v>Q2 Shop 2_BMW/MINI of Escondido</v>
      </c>
      <c r="H262" s="30">
        <f t="shared" si="58"/>
        <v>4</v>
      </c>
      <c r="I262" s="30">
        <f t="shared" si="59"/>
        <v>4</v>
      </c>
      <c r="J262" s="110" t="s">
        <v>84</v>
      </c>
      <c r="L262" t="s">
        <v>358</v>
      </c>
      <c r="M262" t="s">
        <v>57</v>
      </c>
      <c r="N262" t="s">
        <v>57</v>
      </c>
      <c r="O262" t="s">
        <v>57</v>
      </c>
      <c r="P262" t="s">
        <v>57</v>
      </c>
    </row>
    <row r="263" spans="1:16">
      <c r="A263" s="23" t="str">
        <f t="shared" si="56"/>
        <v>Q2 Shop 2</v>
      </c>
      <c r="B263" s="36" t="str">
        <f t="shared" si="54"/>
        <v>Q2</v>
      </c>
      <c r="C263" s="33">
        <f t="shared" si="55"/>
        <v>2</v>
      </c>
      <c r="D263" t="str">
        <f t="shared" si="50"/>
        <v>BMW of San Diego</v>
      </c>
      <c r="E263" t="str">
        <f>IF($J263="","",IFERROR(VLOOKUP($J263,KEY!$D$6:$F$76,3,FALSE),""))</f>
        <v>Southern California</v>
      </c>
      <c r="F263" t="str">
        <f>IF($J263="","",IFERROR(VLOOKUP($J263,KEY!$D$6:$F$76,2,FALSE),""))</f>
        <v>BMW</v>
      </c>
      <c r="G263" t="str">
        <f t="shared" si="57"/>
        <v>Q2 Shop 2_BMW of San Diego</v>
      </c>
      <c r="H263" s="30">
        <f t="shared" si="58"/>
        <v>4</v>
      </c>
      <c r="I263" s="30">
        <f t="shared" si="59"/>
        <v>2</v>
      </c>
      <c r="J263" s="110" t="s">
        <v>82</v>
      </c>
      <c r="L263" t="s">
        <v>359</v>
      </c>
      <c r="M263" t="s">
        <v>56</v>
      </c>
      <c r="N263" t="s">
        <v>57</v>
      </c>
      <c r="O263" t="s">
        <v>56</v>
      </c>
      <c r="P263" t="s">
        <v>57</v>
      </c>
    </row>
    <row r="264" spans="1:16">
      <c r="A264" s="23" t="str">
        <f t="shared" si="56"/>
        <v>Q2 Shop 2</v>
      </c>
      <c r="B264" s="36" t="str">
        <f t="shared" si="54"/>
        <v>Q2</v>
      </c>
      <c r="C264" s="33">
        <f t="shared" si="55"/>
        <v>2</v>
      </c>
      <c r="D264" t="str">
        <f t="shared" si="50"/>
        <v>Honda of Escondido</v>
      </c>
      <c r="E264" t="str">
        <f>IF($J264="","",IFERROR(VLOOKUP($J264,KEY!$D$6:$F$76,3,FALSE),""))</f>
        <v>Southern California</v>
      </c>
      <c r="F264" t="str">
        <f>IF($J264="","",IFERROR(VLOOKUP($J264,KEY!$D$6:$F$76,2,FALSE),""))</f>
        <v>Honda</v>
      </c>
      <c r="G264" t="str">
        <f t="shared" si="57"/>
        <v>Q2 Shop 2_Honda of Escondido</v>
      </c>
      <c r="H264" s="30">
        <f t="shared" si="58"/>
        <v>4</v>
      </c>
      <c r="I264" s="30">
        <f t="shared" si="59"/>
        <v>2</v>
      </c>
      <c r="J264" s="110" t="s">
        <v>104</v>
      </c>
      <c r="L264" t="s">
        <v>360</v>
      </c>
      <c r="M264" t="s">
        <v>57</v>
      </c>
      <c r="N264" t="s">
        <v>57</v>
      </c>
      <c r="O264" t="s">
        <v>56</v>
      </c>
      <c r="P264" t="s">
        <v>56</v>
      </c>
    </row>
    <row r="265" spans="1:16">
      <c r="A265" s="23" t="str">
        <f t="shared" si="56"/>
        <v>Q2 Shop 2</v>
      </c>
      <c r="B265" s="36" t="str">
        <f t="shared" si="54"/>
        <v>Q2</v>
      </c>
      <c r="C265" s="33">
        <f t="shared" si="55"/>
        <v>2</v>
      </c>
      <c r="D265" t="str">
        <f t="shared" si="50"/>
        <v>Kearny Mesa Acura</v>
      </c>
      <c r="E265" t="str">
        <f>IF($J265="","",IFERROR(VLOOKUP($J265,KEY!$D$6:$F$76,3,FALSE),""))</f>
        <v/>
      </c>
      <c r="F265" t="str">
        <f>IF($J265="","",IFERROR(VLOOKUP($J265,KEY!$D$6:$F$76,2,FALSE),""))</f>
        <v/>
      </c>
      <c r="G265" t="str">
        <f t="shared" si="57"/>
        <v>Q2 Shop 2_Kearny Mesa Acura</v>
      </c>
      <c r="H265" s="30">
        <f t="shared" si="58"/>
        <v>4</v>
      </c>
      <c r="I265" s="30">
        <f t="shared" si="59"/>
        <v>2</v>
      </c>
      <c r="J265" s="110" t="s">
        <v>110</v>
      </c>
      <c r="L265" t="s">
        <v>361</v>
      </c>
      <c r="M265" t="s">
        <v>56</v>
      </c>
      <c r="N265" t="s">
        <v>56</v>
      </c>
      <c r="O265" t="s">
        <v>57</v>
      </c>
      <c r="P265" t="s">
        <v>57</v>
      </c>
    </row>
    <row r="266" spans="1:16">
      <c r="A266" s="23" t="str">
        <f t="shared" si="56"/>
        <v>Q2 Shop 2</v>
      </c>
      <c r="B266" s="36" t="str">
        <f t="shared" si="54"/>
        <v>Q2</v>
      </c>
      <c r="C266" s="33">
        <f t="shared" si="55"/>
        <v>2</v>
      </c>
      <c r="D266" t="str">
        <f t="shared" si="50"/>
        <v>Kearny Mesa Toyota</v>
      </c>
      <c r="E266" t="str">
        <f>IF($J266="","",IFERROR(VLOOKUP($J266,KEY!$D$6:$F$76,3,FALSE),""))</f>
        <v>Southern California</v>
      </c>
      <c r="F266" t="str">
        <f>IF($J266="","",IFERROR(VLOOKUP($J266,KEY!$D$6:$F$76,2,FALSE),""))</f>
        <v>Toyota</v>
      </c>
      <c r="G266" t="str">
        <f t="shared" si="57"/>
        <v>Q2 Shop 2_Kearny Mesa Toyota</v>
      </c>
      <c r="H266" s="30">
        <f t="shared" si="58"/>
        <v>4</v>
      </c>
      <c r="I266" s="30">
        <f t="shared" si="59"/>
        <v>4</v>
      </c>
      <c r="J266" s="110" t="s">
        <v>112</v>
      </c>
      <c r="L266" t="s">
        <v>362</v>
      </c>
      <c r="M266" t="s">
        <v>57</v>
      </c>
      <c r="N266" t="s">
        <v>57</v>
      </c>
      <c r="O266" t="s">
        <v>57</v>
      </c>
      <c r="P266" t="s">
        <v>57</v>
      </c>
    </row>
    <row r="267" spans="1:16">
      <c r="A267" s="23" t="str">
        <f t="shared" si="56"/>
        <v>Q2 Shop 2</v>
      </c>
      <c r="B267" s="36" t="str">
        <f t="shared" si="54"/>
        <v>Q2</v>
      </c>
      <c r="C267" s="33">
        <f t="shared" si="55"/>
        <v>2</v>
      </c>
      <c r="D267" t="str">
        <f t="shared" si="50"/>
        <v>Lexus San Diego</v>
      </c>
      <c r="E267" t="str">
        <f>IF($J267="","",IFERROR(VLOOKUP($J267,KEY!$D$6:$F$76,3,FALSE),""))</f>
        <v>Southern California</v>
      </c>
      <c r="F267" t="str">
        <f>IF($J267="","",IFERROR(VLOOKUP($J267,KEY!$D$6:$F$76,2,FALSE),""))</f>
        <v>Lexus</v>
      </c>
      <c r="G267" t="str">
        <f t="shared" si="57"/>
        <v>Q2 Shop 2_Lexus San Diego</v>
      </c>
      <c r="H267" s="30">
        <f t="shared" si="58"/>
        <v>4</v>
      </c>
      <c r="I267" s="30">
        <f t="shared" si="59"/>
        <v>3</v>
      </c>
      <c r="J267" s="110" t="s">
        <v>126</v>
      </c>
      <c r="L267" t="s">
        <v>363</v>
      </c>
      <c r="M267" t="s">
        <v>56</v>
      </c>
      <c r="N267" t="s">
        <v>57</v>
      </c>
      <c r="O267" t="s">
        <v>57</v>
      </c>
      <c r="P267" t="s">
        <v>57</v>
      </c>
    </row>
    <row r="268" spans="1:16">
      <c r="A268" s="23" t="str">
        <f t="shared" si="56"/>
        <v>Q2 Shop 2</v>
      </c>
      <c r="B268" s="36" t="str">
        <f t="shared" si="54"/>
        <v>Q2</v>
      </c>
      <c r="C268" s="33">
        <f t="shared" si="55"/>
        <v>2</v>
      </c>
      <c r="D268" t="str">
        <f t="shared" si="50"/>
        <v>Mazda of Escondido</v>
      </c>
      <c r="E268" t="str">
        <f>IF($J268="","",IFERROR(VLOOKUP($J268,KEY!$D$6:$F$76,3,FALSE),""))</f>
        <v>Southern California</v>
      </c>
      <c r="F268" t="str">
        <f>IF($J268="","",IFERROR(VLOOKUP($J268,KEY!$D$6:$F$76,2,FALSE),""))</f>
        <v>Mazda</v>
      </c>
      <c r="G268" t="str">
        <f t="shared" si="57"/>
        <v>Q2 Shop 2_Mazda of Escondido</v>
      </c>
      <c r="H268" s="30">
        <f t="shared" si="58"/>
        <v>4</v>
      </c>
      <c r="I268" s="30">
        <f t="shared" si="59"/>
        <v>3</v>
      </c>
      <c r="J268" s="110" t="s">
        <v>130</v>
      </c>
      <c r="L268" t="s">
        <v>364</v>
      </c>
      <c r="M268" t="s">
        <v>57</v>
      </c>
      <c r="N268" t="s">
        <v>56</v>
      </c>
      <c r="O268" t="s">
        <v>57</v>
      </c>
      <c r="P268" t="s">
        <v>57</v>
      </c>
    </row>
    <row r="269" spans="1:16">
      <c r="A269" s="23" t="str">
        <f t="shared" si="56"/>
        <v>Q2 Shop 2</v>
      </c>
      <c r="B269" s="36" t="str">
        <f t="shared" si="54"/>
        <v>Q2</v>
      </c>
      <c r="C269" s="33">
        <f t="shared" si="55"/>
        <v>2</v>
      </c>
      <c r="D269" t="str">
        <f t="shared" si="50"/>
        <v>Mercedes-Benz of San Diego</v>
      </c>
      <c r="E269" t="str">
        <f>IF($J269="","",IFERROR(VLOOKUP($J269,KEY!$D$6:$F$76,3,FALSE),""))</f>
        <v>Southern California</v>
      </c>
      <c r="F269" t="str">
        <f>IF($J269="","",IFERROR(VLOOKUP($J269,KEY!$D$6:$F$76,2,FALSE),""))</f>
        <v>Mercedes-Benz</v>
      </c>
      <c r="G269" t="str">
        <f t="shared" si="57"/>
        <v>Q2 Shop 2_Mercedes-Benz of San Diego</v>
      </c>
      <c r="H269" s="30">
        <f t="shared" si="58"/>
        <v>4</v>
      </c>
      <c r="I269" s="30">
        <f t="shared" si="59"/>
        <v>3</v>
      </c>
      <c r="J269" s="110" t="s">
        <v>136</v>
      </c>
      <c r="L269" t="s">
        <v>365</v>
      </c>
      <c r="M269" t="s">
        <v>57</v>
      </c>
      <c r="N269" t="s">
        <v>57</v>
      </c>
      <c r="O269" t="s">
        <v>57</v>
      </c>
      <c r="P269" t="s">
        <v>56</v>
      </c>
    </row>
    <row r="270" spans="1:16">
      <c r="A270" s="23" t="str">
        <f t="shared" si="56"/>
        <v>Q2 Shop 2</v>
      </c>
      <c r="B270" s="36" t="str">
        <f t="shared" si="54"/>
        <v>Q2</v>
      </c>
      <c r="C270" s="33">
        <f t="shared" si="55"/>
        <v>2</v>
      </c>
      <c r="D270" t="str">
        <f t="shared" si="50"/>
        <v>MINI of San Diego</v>
      </c>
      <c r="E270" t="str">
        <f>IF($J270="","",IFERROR(VLOOKUP($J270,KEY!$D$6:$F$76,3,FALSE),""))</f>
        <v>Southern California</v>
      </c>
      <c r="F270" t="str">
        <f>IF($J270="","",IFERROR(VLOOKUP($J270,KEY!$D$6:$F$76,2,FALSE),""))</f>
        <v>MINI</v>
      </c>
      <c r="G270" t="str">
        <f t="shared" si="57"/>
        <v>Q2 Shop 2_MINI of San Diego</v>
      </c>
      <c r="H270" s="30">
        <f t="shared" si="58"/>
        <v>4</v>
      </c>
      <c r="I270" s="30">
        <f t="shared" si="59"/>
        <v>3</v>
      </c>
      <c r="J270" s="110" t="s">
        <v>146</v>
      </c>
      <c r="L270" t="s">
        <v>366</v>
      </c>
      <c r="M270" t="s">
        <v>57</v>
      </c>
      <c r="N270" t="s">
        <v>57</v>
      </c>
      <c r="O270" t="s">
        <v>56</v>
      </c>
      <c r="P270" t="s">
        <v>57</v>
      </c>
    </row>
    <row r="271" spans="1:16">
      <c r="A271" s="23" t="str">
        <f t="shared" si="56"/>
        <v>Q2 Shop 2</v>
      </c>
      <c r="B271" s="36" t="str">
        <f t="shared" si="54"/>
        <v>Q2</v>
      </c>
      <c r="C271" s="33">
        <f t="shared" si="55"/>
        <v>2</v>
      </c>
      <c r="D271" t="str">
        <f t="shared" si="50"/>
        <v>BMW of Austin</v>
      </c>
      <c r="E271" t="str">
        <f>IF($J271="","",IFERROR(VLOOKUP($J271,KEY!$D$6:$F$76,3,FALSE),""))</f>
        <v>Texas</v>
      </c>
      <c r="F271" t="str">
        <f>IF($J271="","",IFERROR(VLOOKUP($J271,KEY!$D$6:$F$76,2,FALSE),""))</f>
        <v>BMW</v>
      </c>
      <c r="G271" t="str">
        <f t="shared" si="57"/>
        <v>Q2 Shop 2_BMW of Austin</v>
      </c>
      <c r="H271" s="30">
        <f t="shared" si="58"/>
        <v>4</v>
      </c>
      <c r="I271" s="30">
        <f t="shared" si="59"/>
        <v>1</v>
      </c>
      <c r="J271" s="110" t="s">
        <v>76</v>
      </c>
      <c r="L271" t="s">
        <v>367</v>
      </c>
      <c r="M271" t="s">
        <v>57</v>
      </c>
      <c r="N271" t="s">
        <v>56</v>
      </c>
      <c r="O271" t="s">
        <v>56</v>
      </c>
      <c r="P271" t="s">
        <v>56</v>
      </c>
    </row>
    <row r="272" spans="1:16">
      <c r="A272" s="23" t="str">
        <f t="shared" si="56"/>
        <v>Q2 Shop 2</v>
      </c>
      <c r="B272" s="36" t="str">
        <f t="shared" si="54"/>
        <v>Q2</v>
      </c>
      <c r="C272" s="33">
        <f t="shared" si="55"/>
        <v>2</v>
      </c>
      <c r="D272" t="str">
        <f t="shared" si="50"/>
        <v>Genesis of Round Rock</v>
      </c>
      <c r="E272" t="str">
        <f>IF($J272="","",IFERROR(VLOOKUP($J272,KEY!$D$6:$F$76,3,FALSE),""))</f>
        <v>Texas</v>
      </c>
      <c r="F272" t="str">
        <f>IF($J272="","",IFERROR(VLOOKUP($J272,KEY!$D$6:$F$76,2,FALSE),""))</f>
        <v>Genesis</v>
      </c>
      <c r="G272" t="str">
        <f t="shared" si="57"/>
        <v>Q2 Shop 2_Genesis of Round Rock</v>
      </c>
      <c r="H272" s="30">
        <f t="shared" si="58"/>
        <v>4</v>
      </c>
      <c r="I272" s="30">
        <f t="shared" si="59"/>
        <v>3</v>
      </c>
      <c r="J272" s="110" t="s">
        <v>98</v>
      </c>
      <c r="L272" t="s">
        <v>368</v>
      </c>
      <c r="M272" t="s">
        <v>56</v>
      </c>
      <c r="N272" t="s">
        <v>57</v>
      </c>
      <c r="O272" t="s">
        <v>57</v>
      </c>
      <c r="P272" t="s">
        <v>57</v>
      </c>
    </row>
    <row r="273" spans="1:22">
      <c r="A273" s="23" t="str">
        <f t="shared" si="56"/>
        <v>Q2 Shop 2</v>
      </c>
      <c r="B273" s="36" t="str">
        <f t="shared" si="54"/>
        <v>Q2</v>
      </c>
      <c r="C273" s="33">
        <f t="shared" si="55"/>
        <v>2</v>
      </c>
      <c r="D273" t="str">
        <f t="shared" si="50"/>
        <v>Honda Leander</v>
      </c>
      <c r="E273" t="str">
        <f>IF($J273="","",IFERROR(VLOOKUP($J273,KEY!$D$6:$F$76,3,FALSE),""))</f>
        <v>Texas</v>
      </c>
      <c r="F273" t="str">
        <f>IF($J273="","",IFERROR(VLOOKUP($J273,KEY!$D$6:$F$76,2,FALSE),""))</f>
        <v>Honda</v>
      </c>
      <c r="G273" t="str">
        <f t="shared" si="57"/>
        <v>Q2 Shop 2_Honda Leander</v>
      </c>
      <c r="H273" s="30">
        <f t="shared" si="58"/>
        <v>4</v>
      </c>
      <c r="I273" s="30">
        <f t="shared" si="59"/>
        <v>2</v>
      </c>
      <c r="J273" s="110" t="s">
        <v>100</v>
      </c>
      <c r="L273" t="s">
        <v>369</v>
      </c>
      <c r="M273" t="s">
        <v>57</v>
      </c>
      <c r="N273" t="s">
        <v>57</v>
      </c>
      <c r="O273" t="s">
        <v>56</v>
      </c>
      <c r="P273" t="s">
        <v>56</v>
      </c>
    </row>
    <row r="274" spans="1:22">
      <c r="A274" s="23" t="str">
        <f t="shared" si="56"/>
        <v>Q2 Shop 2</v>
      </c>
      <c r="B274" s="36" t="str">
        <f t="shared" si="54"/>
        <v>Q2</v>
      </c>
      <c r="C274" s="33">
        <f t="shared" si="55"/>
        <v>2</v>
      </c>
      <c r="D274" t="str">
        <f t="shared" si="50"/>
        <v>Hyundai of Pharr</v>
      </c>
      <c r="E274" t="str">
        <f>IF($J274="","",IFERROR(VLOOKUP($J274,KEY!$D$6:$F$76,3,FALSE),""))</f>
        <v>Texas</v>
      </c>
      <c r="F274" t="str">
        <f>IF($J274="","",IFERROR(VLOOKUP($J274,KEY!$D$6:$F$76,2,FALSE),""))</f>
        <v>Hyundai</v>
      </c>
      <c r="G274" t="str">
        <f t="shared" si="57"/>
        <v>Q2 Shop 2_Hyundai of Pharr</v>
      </c>
      <c r="H274" s="30">
        <f t="shared" si="58"/>
        <v>4</v>
      </c>
      <c r="I274" s="30">
        <f t="shared" si="59"/>
        <v>4</v>
      </c>
      <c r="J274" s="110" t="s">
        <v>108</v>
      </c>
      <c r="L274" t="s">
        <v>370</v>
      </c>
      <c r="M274" t="s">
        <v>57</v>
      </c>
      <c r="N274" t="s">
        <v>57</v>
      </c>
      <c r="O274" t="s">
        <v>57</v>
      </c>
      <c r="P274" t="s">
        <v>57</v>
      </c>
    </row>
    <row r="275" spans="1:22">
      <c r="A275" s="23" t="str">
        <f t="shared" si="56"/>
        <v>Q2 Shop 2</v>
      </c>
      <c r="B275" s="36" t="str">
        <f t="shared" si="54"/>
        <v>Q2</v>
      </c>
      <c r="C275" s="33">
        <f t="shared" si="55"/>
        <v>2</v>
      </c>
      <c r="D275" t="str">
        <f t="shared" si="50"/>
        <v>Lexus of Austin</v>
      </c>
      <c r="E275" t="str">
        <f>IF($J275="","",IFERROR(VLOOKUP($J275,KEY!$D$6:$F$76,3,FALSE),""))</f>
        <v>Texas</v>
      </c>
      <c r="F275" t="str">
        <f>IF($J275="","",IFERROR(VLOOKUP($J275,KEY!$D$6:$F$76,2,FALSE),""))</f>
        <v>Lexus</v>
      </c>
      <c r="G275" t="str">
        <f t="shared" si="57"/>
        <v>Q2 Shop 2_Lexus of Austin</v>
      </c>
      <c r="H275" s="30">
        <f t="shared" si="58"/>
        <v>4</v>
      </c>
      <c r="I275" s="30">
        <f t="shared" si="59"/>
        <v>4</v>
      </c>
      <c r="J275" s="110" t="s">
        <v>120</v>
      </c>
      <c r="L275" t="s">
        <v>371</v>
      </c>
      <c r="M275" t="s">
        <v>57</v>
      </c>
      <c r="N275" t="s">
        <v>57</v>
      </c>
      <c r="O275" t="s">
        <v>57</v>
      </c>
      <c r="P275" t="s">
        <v>57</v>
      </c>
    </row>
    <row r="276" spans="1:22">
      <c r="A276" s="23" t="str">
        <f t="shared" si="56"/>
        <v>Q2 Shop 2</v>
      </c>
      <c r="B276" s="36" t="str">
        <f t="shared" si="54"/>
        <v>Q2</v>
      </c>
      <c r="C276" s="33">
        <f t="shared" si="55"/>
        <v>2</v>
      </c>
      <c r="D276" t="str">
        <f t="shared" si="50"/>
        <v>Lexus of Lakeway</v>
      </c>
      <c r="E276" t="str">
        <f>IF($J276="","",IFERROR(VLOOKUP($J276,KEY!$D$6:$F$76,3,FALSE),""))</f>
        <v>Texas</v>
      </c>
      <c r="F276" t="str">
        <f>IF($J276="","",IFERROR(VLOOKUP($J276,KEY!$D$6:$F$76,2,FALSE),""))</f>
        <v>Lexus</v>
      </c>
      <c r="G276" t="str">
        <f t="shared" si="57"/>
        <v>Q2 Shop 2_Lexus of Lakeway</v>
      </c>
      <c r="H276" s="30">
        <f t="shared" si="58"/>
        <v>4</v>
      </c>
      <c r="I276" s="30">
        <f t="shared" si="59"/>
        <v>4</v>
      </c>
      <c r="J276" s="110" t="s">
        <v>124</v>
      </c>
      <c r="L276" t="s">
        <v>372</v>
      </c>
      <c r="M276" t="s">
        <v>57</v>
      </c>
      <c r="N276" t="s">
        <v>57</v>
      </c>
      <c r="O276" t="s">
        <v>57</v>
      </c>
      <c r="P276" t="s">
        <v>57</v>
      </c>
    </row>
    <row r="277" spans="1:22">
      <c r="A277" s="23" t="str">
        <f t="shared" si="56"/>
        <v>Q2 Shop 2</v>
      </c>
      <c r="B277" s="36" t="str">
        <f t="shared" si="54"/>
        <v>Q2</v>
      </c>
      <c r="C277" s="33">
        <f t="shared" si="55"/>
        <v>2</v>
      </c>
      <c r="D277" t="str">
        <f t="shared" si="50"/>
        <v>MINI of Austin</v>
      </c>
      <c r="E277" t="str">
        <f>IF($J277="","",IFERROR(VLOOKUP($J277,KEY!$D$6:$F$76,3,FALSE),""))</f>
        <v>Texas</v>
      </c>
      <c r="F277" t="str">
        <f>IF($J277="","",IFERROR(VLOOKUP($J277,KEY!$D$6:$F$76,2,FALSE),""))</f>
        <v>MINI</v>
      </c>
      <c r="G277" t="str">
        <f t="shared" si="57"/>
        <v>Q2 Shop 2_MINI of Austin</v>
      </c>
      <c r="H277" s="30">
        <f t="shared" si="58"/>
        <v>4</v>
      </c>
      <c r="I277" s="30">
        <f t="shared" si="59"/>
        <v>4</v>
      </c>
      <c r="J277" s="110" t="s">
        <v>140</v>
      </c>
      <c r="K277" t="s">
        <v>1</v>
      </c>
      <c r="L277" t="s">
        <v>373</v>
      </c>
      <c r="M277" t="s">
        <v>57</v>
      </c>
      <c r="N277" t="s">
        <v>57</v>
      </c>
      <c r="O277" t="s">
        <v>57</v>
      </c>
      <c r="P277" t="s">
        <v>57</v>
      </c>
    </row>
    <row r="278" spans="1:22">
      <c r="A278" s="23" t="str">
        <f t="shared" si="56"/>
        <v>Q2 Shop 2</v>
      </c>
      <c r="B278" s="36" t="str">
        <f t="shared" si="54"/>
        <v>Q2</v>
      </c>
      <c r="C278" s="33">
        <f t="shared" si="55"/>
        <v>2</v>
      </c>
      <c r="D278" t="str">
        <f t="shared" si="50"/>
        <v>Round Rock Honda</v>
      </c>
      <c r="E278" t="str">
        <f>IF($J278="","",IFERROR(VLOOKUP($J278,KEY!$D$6:$F$76,3,FALSE),""))</f>
        <v>Texas</v>
      </c>
      <c r="F278" t="str">
        <f>IF($J278="","",IFERROR(VLOOKUP($J278,KEY!$D$6:$F$76,2,FALSE),""))</f>
        <v>Honda</v>
      </c>
      <c r="G278" t="str">
        <f t="shared" si="57"/>
        <v>Q2 Shop 2_Round Rock Honda</v>
      </c>
      <c r="H278" s="30">
        <f t="shared" si="58"/>
        <v>4</v>
      </c>
      <c r="I278" s="30">
        <f t="shared" si="59"/>
        <v>1</v>
      </c>
      <c r="J278" s="110" t="s">
        <v>164</v>
      </c>
      <c r="K278" t="s">
        <v>1</v>
      </c>
      <c r="L278" t="s">
        <v>374</v>
      </c>
      <c r="M278" t="s">
        <v>57</v>
      </c>
      <c r="N278" t="s">
        <v>56</v>
      </c>
      <c r="O278" t="s">
        <v>56</v>
      </c>
      <c r="P278" t="s">
        <v>56</v>
      </c>
    </row>
    <row r="279" spans="1:22">
      <c r="A279" s="23" t="str">
        <f t="shared" si="56"/>
        <v>Q2 Shop 2</v>
      </c>
      <c r="B279" s="36" t="str">
        <f t="shared" si="54"/>
        <v>Q2</v>
      </c>
      <c r="C279" s="33">
        <f t="shared" si="55"/>
        <v>2</v>
      </c>
      <c r="D279" t="str">
        <f t="shared" si="50"/>
        <v>Round Rock Hyundai</v>
      </c>
      <c r="E279" t="str">
        <f>IF($J279="","",IFERROR(VLOOKUP($J279,KEY!$D$6:$F$76,3,FALSE),""))</f>
        <v>Texas</v>
      </c>
      <c r="F279" t="str">
        <f>IF($J279="","",IFERROR(VLOOKUP($J279,KEY!$D$6:$F$76,2,FALSE),""))</f>
        <v>Hyundai</v>
      </c>
      <c r="G279" t="str">
        <f t="shared" si="57"/>
        <v>Q2 Shop 2_Round Rock Hyundai</v>
      </c>
      <c r="H279" s="30">
        <f t="shared" si="58"/>
        <v>4</v>
      </c>
      <c r="I279" s="30">
        <f t="shared" si="59"/>
        <v>3</v>
      </c>
      <c r="J279" s="110" t="s">
        <v>166</v>
      </c>
      <c r="K279" t="s">
        <v>1</v>
      </c>
      <c r="L279" t="s">
        <v>375</v>
      </c>
      <c r="M279" t="s">
        <v>56</v>
      </c>
      <c r="N279" t="s">
        <v>57</v>
      </c>
      <c r="O279" t="s">
        <v>57</v>
      </c>
      <c r="P279" t="s">
        <v>57</v>
      </c>
    </row>
    <row r="280" spans="1:22">
      <c r="A280" s="23" t="str">
        <f t="shared" si="56"/>
        <v>Q2 Shop 2</v>
      </c>
      <c r="B280" s="36" t="str">
        <f t="shared" si="54"/>
        <v>Q2</v>
      </c>
      <c r="C280" s="33">
        <f t="shared" si="55"/>
        <v>2</v>
      </c>
      <c r="D280" t="str">
        <f t="shared" ref="D280:D285" si="60">IF($J280="","",$J280)</f>
        <v>Round Rock Toyota</v>
      </c>
      <c r="E280" t="str">
        <f>IF($J280="","",IFERROR(VLOOKUP($J280,KEY!$D$6:$F$76,3,FALSE),""))</f>
        <v>Texas</v>
      </c>
      <c r="F280" t="str">
        <f>IF($J280="","",IFERROR(VLOOKUP($J280,KEY!$D$6:$F$76,2,FALSE),""))</f>
        <v>Toyota</v>
      </c>
      <c r="G280" t="str">
        <f t="shared" si="57"/>
        <v>Q2 Shop 2_Round Rock Toyota</v>
      </c>
      <c r="H280" s="30">
        <f t="shared" ref="H280:H285" si="61">IF($J280="","",COUNTIF($M280:$V280,"*"))</f>
        <v>4</v>
      </c>
      <c r="I280" s="30">
        <f t="shared" ref="I280:I285" si="62">IF($J280="","",COUNTIF($M280:$V280,"YES*"))</f>
        <v>3</v>
      </c>
      <c r="J280" s="110" t="s">
        <v>168</v>
      </c>
      <c r="K280" t="s">
        <v>1</v>
      </c>
      <c r="L280" t="s">
        <v>376</v>
      </c>
      <c r="M280" t="s">
        <v>57</v>
      </c>
      <c r="N280" t="s">
        <v>56</v>
      </c>
      <c r="O280" t="s">
        <v>57</v>
      </c>
      <c r="P280" t="s">
        <v>57</v>
      </c>
    </row>
    <row r="281" spans="1:22">
      <c r="A281" s="23" t="str">
        <f t="shared" si="56"/>
        <v>Q2 Shop 2</v>
      </c>
      <c r="B281" s="36" t="str">
        <f t="shared" ref="B281:C285" si="63">B280</f>
        <v>Q2</v>
      </c>
      <c r="C281" s="33">
        <f t="shared" si="63"/>
        <v>2</v>
      </c>
      <c r="D281" t="str">
        <f t="shared" si="60"/>
        <v/>
      </c>
      <c r="E281" t="str">
        <f>IF($J281="","",IFERROR(VLOOKUP($J281,KEY!$D$6:$F$76,3,FALSE),""))</f>
        <v/>
      </c>
      <c r="F281" t="str">
        <f>IF($J281="","",IFERROR(VLOOKUP($J281,KEY!$D$6:$F$76,2,FALSE),""))</f>
        <v/>
      </c>
      <c r="G281" t="str">
        <f t="shared" si="57"/>
        <v/>
      </c>
      <c r="H281" s="30" t="str">
        <f t="shared" si="61"/>
        <v/>
      </c>
      <c r="I281" s="30" t="str">
        <f t="shared" si="62"/>
        <v/>
      </c>
      <c r="J281" s="110"/>
    </row>
    <row r="282" spans="1:22">
      <c r="A282" s="23" t="str">
        <f t="shared" si="56"/>
        <v>Q2 Shop 2</v>
      </c>
      <c r="B282" s="36" t="str">
        <f t="shared" si="63"/>
        <v>Q2</v>
      </c>
      <c r="C282" s="33">
        <f t="shared" si="63"/>
        <v>2</v>
      </c>
      <c r="D282" t="str">
        <f t="shared" si="60"/>
        <v/>
      </c>
      <c r="E282" t="str">
        <f>IF($J282="","",IFERROR(VLOOKUP($J282,KEY!$D$6:$F$76,3,FALSE),""))</f>
        <v/>
      </c>
      <c r="F282" t="str">
        <f>IF($J282="","",IFERROR(VLOOKUP($J282,KEY!$D$6:$F$76,2,FALSE),""))</f>
        <v/>
      </c>
      <c r="G282" t="str">
        <f t="shared" si="57"/>
        <v/>
      </c>
      <c r="H282" s="30" t="str">
        <f t="shared" si="61"/>
        <v/>
      </c>
      <c r="I282" s="30" t="str">
        <f t="shared" si="62"/>
        <v/>
      </c>
      <c r="J282" s="110"/>
    </row>
    <row r="283" spans="1:22">
      <c r="A283" s="23" t="str">
        <f t="shared" si="56"/>
        <v>Q2 Shop 2</v>
      </c>
      <c r="B283" s="36" t="str">
        <f t="shared" si="63"/>
        <v>Q2</v>
      </c>
      <c r="C283" s="33">
        <f t="shared" si="63"/>
        <v>2</v>
      </c>
      <c r="D283" t="str">
        <f t="shared" si="60"/>
        <v/>
      </c>
      <c r="E283" t="str">
        <f>IF($J283="","",IFERROR(VLOOKUP($J283,KEY!$D$6:$F$76,3,FALSE),""))</f>
        <v/>
      </c>
      <c r="F283" t="str">
        <f>IF($J283="","",IFERROR(VLOOKUP($J283,KEY!$D$6:$F$76,2,FALSE),""))</f>
        <v/>
      </c>
      <c r="G283" t="str">
        <f t="shared" si="57"/>
        <v/>
      </c>
      <c r="H283" s="30" t="str">
        <f t="shared" si="61"/>
        <v/>
      </c>
      <c r="I283" s="30" t="str">
        <f t="shared" si="62"/>
        <v/>
      </c>
      <c r="J283" s="110"/>
    </row>
    <row r="284" spans="1:22">
      <c r="A284" s="23" t="str">
        <f t="shared" si="56"/>
        <v>Q2 Shop 2</v>
      </c>
      <c r="B284" s="36" t="str">
        <f t="shared" si="63"/>
        <v>Q2</v>
      </c>
      <c r="C284" s="33">
        <f t="shared" si="63"/>
        <v>2</v>
      </c>
      <c r="D284" t="str">
        <f t="shared" si="60"/>
        <v/>
      </c>
      <c r="E284" t="str">
        <f>IF($J284="","",IFERROR(VLOOKUP($J284,KEY!$D$6:$F$76,3,FALSE),""))</f>
        <v/>
      </c>
      <c r="F284" t="str">
        <f>IF($J284="","",IFERROR(VLOOKUP($J284,KEY!$D$6:$F$76,2,FALSE),""))</f>
        <v/>
      </c>
      <c r="G284" t="str">
        <f t="shared" si="57"/>
        <v/>
      </c>
      <c r="H284" s="30" t="str">
        <f t="shared" si="61"/>
        <v/>
      </c>
      <c r="I284" s="30" t="str">
        <f t="shared" si="62"/>
        <v/>
      </c>
      <c r="J284" s="110"/>
    </row>
    <row r="285" spans="1:22">
      <c r="A285" s="23" t="str">
        <f t="shared" si="56"/>
        <v>Q2 Shop 2</v>
      </c>
      <c r="B285" s="36" t="str">
        <f t="shared" si="63"/>
        <v>Q2</v>
      </c>
      <c r="C285" s="33">
        <f t="shared" si="63"/>
        <v>2</v>
      </c>
      <c r="D285" t="str">
        <f t="shared" si="60"/>
        <v/>
      </c>
      <c r="E285" t="str">
        <f>IF($J285="","",IFERROR(VLOOKUP($J285,KEY!$D$6:$F$76,3,FALSE),""))</f>
        <v/>
      </c>
      <c r="F285" t="str">
        <f>IF($J285="","",IFERROR(VLOOKUP($J285,KEY!$D$6:$F$76,2,FALSE),""))</f>
        <v/>
      </c>
      <c r="G285" t="str">
        <f t="shared" si="57"/>
        <v/>
      </c>
      <c r="H285" s="30" t="str">
        <f t="shared" si="61"/>
        <v/>
      </c>
      <c r="I285" s="30" t="str">
        <f t="shared" si="62"/>
        <v/>
      </c>
      <c r="J285" s="110"/>
    </row>
    <row r="286" spans="1:22" ht="8.1" customHeight="1">
      <c r="A286" s="32"/>
      <c r="B286" s="37"/>
      <c r="C286" s="38"/>
      <c r="D286" s="32"/>
      <c r="E286" s="32"/>
      <c r="F286" s="32"/>
      <c r="G286" s="32" t="str">
        <f>A286&amp;"_"&amp;D286</f>
        <v>_</v>
      </c>
      <c r="H286" s="32"/>
      <c r="I286" s="32"/>
      <c r="J286" s="111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</row>
    <row r="287" spans="1:22">
      <c r="A287" s="23" t="str">
        <f t="shared" ref="A287:A301" si="64">B287&amp;" Shop "&amp;C287</f>
        <v>Q3 Shop 1</v>
      </c>
      <c r="B287" s="36" t="s">
        <v>377</v>
      </c>
      <c r="C287" s="33">
        <v>1</v>
      </c>
      <c r="D287" t="str">
        <f t="shared" ref="D287:D356" si="65">IF($J287="","",$J287)</f>
        <v>Acura North Scottsdale</v>
      </c>
      <c r="E287" t="str">
        <f>IF($J287="","",IFERROR(VLOOKUP($J287,KEY!$D$6:$F$76,3,FALSE),""))</f>
        <v>Arizona</v>
      </c>
      <c r="F287" t="str">
        <f>IF($J287="","",IFERROR(VLOOKUP($J287,KEY!$D$6:$F$76,2,FALSE),""))</f>
        <v>Acura</v>
      </c>
      <c r="G287" t="str">
        <f t="shared" ref="G287:G301" si="66">IF($J287="","",A287&amp;"_"&amp;D287)</f>
        <v>Q3 Shop 1_Acura North Scottsdale</v>
      </c>
      <c r="H287" s="30">
        <f t="shared" ref="H287:H318" si="67">IF($J287="","",COUNTIF($M287:$V287,"*"))</f>
        <v>4</v>
      </c>
      <c r="I287" s="30">
        <f t="shared" ref="I287:I318" si="68">IF($J287="","",COUNTIF($M287:$V287,"YES*"))</f>
        <v>2</v>
      </c>
      <c r="J287" s="110" t="s">
        <v>35</v>
      </c>
      <c r="K287" t="s">
        <v>1</v>
      </c>
      <c r="L287" t="s">
        <v>313</v>
      </c>
      <c r="M287" t="s">
        <v>57</v>
      </c>
      <c r="N287" t="s">
        <v>56</v>
      </c>
      <c r="O287" t="s">
        <v>57</v>
      </c>
      <c r="P287" t="s">
        <v>56</v>
      </c>
    </row>
    <row r="288" spans="1:22">
      <c r="A288" s="23" t="str">
        <f t="shared" si="64"/>
        <v>Q3 Shop 1</v>
      </c>
      <c r="B288" s="36" t="str">
        <f t="shared" ref="B288:C301" si="69">B287</f>
        <v>Q3</v>
      </c>
      <c r="C288" s="33">
        <f t="shared" si="69"/>
        <v>1</v>
      </c>
      <c r="D288" t="str">
        <f t="shared" si="65"/>
        <v>Audi Chandler</v>
      </c>
      <c r="E288" t="str">
        <f>IF($J288="","",IFERROR(VLOOKUP($J288,KEY!$D$6:$F$76,3,FALSE),""))</f>
        <v>Arizona</v>
      </c>
      <c r="F288" t="str">
        <f>IF($J288="","",IFERROR(VLOOKUP($J288,KEY!$D$6:$F$76,2,FALSE),""))</f>
        <v>Audi</v>
      </c>
      <c r="G288" t="str">
        <f t="shared" si="66"/>
        <v>Q3 Shop 1_Audi Chandler</v>
      </c>
      <c r="H288" s="30">
        <f t="shared" si="67"/>
        <v>4</v>
      </c>
      <c r="I288" s="30">
        <f t="shared" si="68"/>
        <v>2</v>
      </c>
      <c r="J288" s="110" t="s">
        <v>60</v>
      </c>
      <c r="K288" t="s">
        <v>1</v>
      </c>
      <c r="L288" t="s">
        <v>378</v>
      </c>
      <c r="M288" t="s">
        <v>57</v>
      </c>
      <c r="N288" t="s">
        <v>56</v>
      </c>
      <c r="O288" t="s">
        <v>56</v>
      </c>
      <c r="P288" t="s">
        <v>57</v>
      </c>
    </row>
    <row r="289" spans="1:16">
      <c r="A289" s="23" t="str">
        <f t="shared" si="64"/>
        <v>Q3 Shop 1</v>
      </c>
      <c r="B289" s="36" t="str">
        <f t="shared" si="69"/>
        <v>Q3</v>
      </c>
      <c r="C289" s="33">
        <f t="shared" si="69"/>
        <v>1</v>
      </c>
      <c r="D289" t="str">
        <f t="shared" si="65"/>
        <v>Audi North Scottsdale</v>
      </c>
      <c r="E289" t="str">
        <f>IF($J289="","",IFERROR(VLOOKUP($J289,KEY!$D$6:$F$76,3,FALSE),""))</f>
        <v>Arizona</v>
      </c>
      <c r="F289" t="str">
        <f>IF($J289="","",IFERROR(VLOOKUP($J289,KEY!$D$6:$F$76,2,FALSE),""))</f>
        <v>Audi</v>
      </c>
      <c r="G289" t="str">
        <f t="shared" si="66"/>
        <v>Q3 Shop 1_Audi North Scottsdale</v>
      </c>
      <c r="H289" s="30">
        <f t="shared" si="67"/>
        <v>4</v>
      </c>
      <c r="I289" s="30">
        <f t="shared" si="68"/>
        <v>4</v>
      </c>
      <c r="J289" s="110" t="s">
        <v>66</v>
      </c>
      <c r="K289" t="s">
        <v>1</v>
      </c>
      <c r="L289" t="s">
        <v>315</v>
      </c>
      <c r="M289" t="s">
        <v>57</v>
      </c>
      <c r="N289" t="s">
        <v>57</v>
      </c>
      <c r="O289" t="s">
        <v>57</v>
      </c>
      <c r="P289" t="s">
        <v>57</v>
      </c>
    </row>
    <row r="290" spans="1:16">
      <c r="A290" s="23" t="str">
        <f t="shared" si="64"/>
        <v>Q3 Shop 1</v>
      </c>
      <c r="B290" s="36" t="str">
        <f t="shared" si="69"/>
        <v>Q3</v>
      </c>
      <c r="C290" s="33">
        <f t="shared" si="69"/>
        <v>1</v>
      </c>
      <c r="D290" t="str">
        <f t="shared" si="65"/>
        <v>Bentley Scottsdale</v>
      </c>
      <c r="E290" t="str">
        <f>IF($J290="","",IFERROR(VLOOKUP($J290,KEY!$D$6:$F$76,3,FALSE),""))</f>
        <v>Arizona</v>
      </c>
      <c r="F290" t="str">
        <f>IF($J290="","",IFERROR(VLOOKUP($J290,KEY!$D$6:$F$76,2,FALSE),""))</f>
        <v>Ultra</v>
      </c>
      <c r="G290" t="str">
        <f t="shared" si="66"/>
        <v>Q3 Shop 1_Bentley Scottsdale</v>
      </c>
      <c r="H290" s="30">
        <f t="shared" si="67"/>
        <v>4</v>
      </c>
      <c r="I290" s="30">
        <f t="shared" si="68"/>
        <v>4</v>
      </c>
      <c r="J290" s="110" t="s">
        <v>72</v>
      </c>
      <c r="K290" t="s">
        <v>1</v>
      </c>
      <c r="L290" t="s">
        <v>379</v>
      </c>
      <c r="M290" t="s">
        <v>57</v>
      </c>
      <c r="N290" t="s">
        <v>57</v>
      </c>
      <c r="O290" t="s">
        <v>57</v>
      </c>
      <c r="P290" t="s">
        <v>57</v>
      </c>
    </row>
    <row r="291" spans="1:16">
      <c r="A291" s="23" t="str">
        <f t="shared" si="64"/>
        <v>Q3 Shop 1</v>
      </c>
      <c r="B291" s="36" t="str">
        <f t="shared" si="69"/>
        <v>Q3</v>
      </c>
      <c r="C291" s="33">
        <f t="shared" si="69"/>
        <v>1</v>
      </c>
      <c r="D291" t="str">
        <f t="shared" si="65"/>
        <v>BMW North Scottsdale</v>
      </c>
      <c r="E291" t="str">
        <f>IF($J291="","",IFERROR(VLOOKUP($J291,KEY!$D$6:$F$76,3,FALSE),""))</f>
        <v>Arizona</v>
      </c>
      <c r="F291" t="str">
        <f>IF($J291="","",IFERROR(VLOOKUP($J291,KEY!$D$6:$F$76,2,FALSE),""))</f>
        <v>BMW</v>
      </c>
      <c r="G291" t="str">
        <f t="shared" si="66"/>
        <v>Q3 Shop 1_BMW North Scottsdale</v>
      </c>
      <c r="H291" s="30">
        <f t="shared" si="67"/>
        <v>4</v>
      </c>
      <c r="I291" s="30">
        <f t="shared" si="68"/>
        <v>2</v>
      </c>
      <c r="J291" s="110" t="s">
        <v>74</v>
      </c>
      <c r="K291" t="s">
        <v>1</v>
      </c>
      <c r="L291" t="s">
        <v>317</v>
      </c>
      <c r="M291" t="s">
        <v>57</v>
      </c>
      <c r="N291" t="s">
        <v>56</v>
      </c>
      <c r="O291" t="s">
        <v>56</v>
      </c>
      <c r="P291" t="s">
        <v>57</v>
      </c>
    </row>
    <row r="292" spans="1:16">
      <c r="A292" s="23" t="str">
        <f t="shared" si="64"/>
        <v>Q3 Shop 1</v>
      </c>
      <c r="B292" s="36" t="str">
        <f t="shared" si="69"/>
        <v>Q3</v>
      </c>
      <c r="C292" s="33">
        <f t="shared" si="69"/>
        <v>1</v>
      </c>
      <c r="D292" t="str">
        <f t="shared" si="65"/>
        <v>Lamborghini North Scottsdale</v>
      </c>
      <c r="E292" t="str">
        <f>IF($J292="","",IFERROR(VLOOKUP($J292,KEY!$D$6:$F$76,3,FALSE),""))</f>
        <v>Arizona</v>
      </c>
      <c r="F292" t="str">
        <f>IF($J292="","",IFERROR(VLOOKUP($J292,KEY!$D$6:$F$76,2,FALSE),""))</f>
        <v>Ultra</v>
      </c>
      <c r="G292" t="str">
        <f t="shared" si="66"/>
        <v>Q3 Shop 1_Lamborghini North Scottsdale</v>
      </c>
      <c r="H292" s="30">
        <f t="shared" si="67"/>
        <v>4</v>
      </c>
      <c r="I292" s="30">
        <f t="shared" si="68"/>
        <v>4</v>
      </c>
      <c r="J292" s="110" t="s">
        <v>114</v>
      </c>
      <c r="K292" t="s">
        <v>1</v>
      </c>
      <c r="L292" t="s">
        <v>380</v>
      </c>
      <c r="M292" t="s">
        <v>57</v>
      </c>
      <c r="N292" t="s">
        <v>57</v>
      </c>
      <c r="O292" t="s">
        <v>57</v>
      </c>
      <c r="P292" t="s">
        <v>57</v>
      </c>
    </row>
    <row r="293" spans="1:16">
      <c r="A293" s="23" t="str">
        <f t="shared" si="64"/>
        <v>Q3 Shop 1</v>
      </c>
      <c r="B293" s="36" t="str">
        <f t="shared" si="69"/>
        <v>Q3</v>
      </c>
      <c r="C293" s="33">
        <f t="shared" si="69"/>
        <v>1</v>
      </c>
      <c r="D293" t="str">
        <f t="shared" si="65"/>
        <v>Land Rover Chandler</v>
      </c>
      <c r="E293" t="str">
        <f>IF($J293="","",IFERROR(VLOOKUP($J293,KEY!$D$6:$F$76,3,FALSE),""))</f>
        <v>Arizona</v>
      </c>
      <c r="F293" t="str">
        <f>IF($J293="","",IFERROR(VLOOKUP($J293,KEY!$D$6:$F$76,2,FALSE),""))</f>
        <v>LR</v>
      </c>
      <c r="G293" t="str">
        <f t="shared" si="66"/>
        <v>Q3 Shop 1_Land Rover Chandler</v>
      </c>
      <c r="H293" s="30">
        <f t="shared" si="67"/>
        <v>4</v>
      </c>
      <c r="I293" s="30">
        <f t="shared" si="68"/>
        <v>4</v>
      </c>
      <c r="J293" s="110" t="s">
        <v>116</v>
      </c>
      <c r="K293" t="s">
        <v>1</v>
      </c>
      <c r="L293" t="s">
        <v>381</v>
      </c>
      <c r="M293" t="s">
        <v>57</v>
      </c>
      <c r="N293" t="s">
        <v>57</v>
      </c>
      <c r="O293" t="s">
        <v>57</v>
      </c>
      <c r="P293" t="s">
        <v>57</v>
      </c>
    </row>
    <row r="294" spans="1:16">
      <c r="A294" s="23" t="str">
        <f t="shared" si="64"/>
        <v>Q3 Shop 1</v>
      </c>
      <c r="B294" s="36" t="str">
        <f t="shared" si="69"/>
        <v>Q3</v>
      </c>
      <c r="C294" s="33">
        <f t="shared" si="69"/>
        <v>1</v>
      </c>
      <c r="D294" t="str">
        <f t="shared" si="65"/>
        <v>Land Rover North Scottsdale</v>
      </c>
      <c r="E294" t="str">
        <f>IF($J294="","",IFERROR(VLOOKUP($J294,KEY!$D$6:$F$76,3,FALSE),""))</f>
        <v>Arizona</v>
      </c>
      <c r="F294" t="str">
        <f>IF($J294="","",IFERROR(VLOOKUP($J294,KEY!$D$6:$F$76,2,FALSE),""))</f>
        <v>LR</v>
      </c>
      <c r="G294" t="str">
        <f t="shared" si="66"/>
        <v>Q3 Shop 1_Land Rover North Scottsdale</v>
      </c>
      <c r="H294" s="30">
        <f t="shared" si="67"/>
        <v>4</v>
      </c>
      <c r="I294" s="30">
        <f t="shared" si="68"/>
        <v>3</v>
      </c>
      <c r="J294" s="110" t="s">
        <v>118</v>
      </c>
      <c r="K294" t="s">
        <v>1</v>
      </c>
      <c r="L294" t="s">
        <v>382</v>
      </c>
      <c r="M294" t="s">
        <v>57</v>
      </c>
      <c r="N294" t="s">
        <v>56</v>
      </c>
      <c r="O294" t="s">
        <v>57</v>
      </c>
      <c r="P294" t="s">
        <v>57</v>
      </c>
    </row>
    <row r="295" spans="1:16">
      <c r="A295" s="23" t="str">
        <f t="shared" si="64"/>
        <v>Q3 Shop 1</v>
      </c>
      <c r="B295" s="36" t="str">
        <f t="shared" si="69"/>
        <v>Q3</v>
      </c>
      <c r="C295" s="33">
        <f t="shared" si="69"/>
        <v>1</v>
      </c>
      <c r="D295" t="str">
        <f t="shared" si="65"/>
        <v>Lexus of Chandler</v>
      </c>
      <c r="E295" t="str">
        <f>IF($J295="","",IFERROR(VLOOKUP($J295,KEY!$D$6:$F$76,3,FALSE),""))</f>
        <v>Arizona</v>
      </c>
      <c r="F295" t="str">
        <f>IF($J295="","",IFERROR(VLOOKUP($J295,KEY!$D$6:$F$76,2,FALSE),""))</f>
        <v>Lexus</v>
      </c>
      <c r="G295" t="str">
        <f t="shared" si="66"/>
        <v>Q3 Shop 1_Lexus of Chandler</v>
      </c>
      <c r="H295" s="30">
        <f t="shared" si="67"/>
        <v>4</v>
      </c>
      <c r="I295" s="30">
        <f t="shared" si="68"/>
        <v>1</v>
      </c>
      <c r="J295" s="110" t="s">
        <v>122</v>
      </c>
      <c r="K295" t="s">
        <v>1</v>
      </c>
      <c r="L295" t="s">
        <v>383</v>
      </c>
      <c r="M295" t="s">
        <v>56</v>
      </c>
      <c r="N295" t="s">
        <v>56</v>
      </c>
      <c r="O295" t="s">
        <v>56</v>
      </c>
      <c r="P295" t="s">
        <v>57</v>
      </c>
    </row>
    <row r="296" spans="1:16">
      <c r="A296" s="23" t="str">
        <f t="shared" si="64"/>
        <v>Q3 Shop 1</v>
      </c>
      <c r="B296" s="36" t="str">
        <f t="shared" si="69"/>
        <v>Q3</v>
      </c>
      <c r="C296" s="33">
        <f t="shared" si="69"/>
        <v>1</v>
      </c>
      <c r="D296" t="str">
        <f t="shared" si="65"/>
        <v>Mercedes-Benz of Chandler</v>
      </c>
      <c r="E296" t="str">
        <f>IF($J296="","",IFERROR(VLOOKUP($J296,KEY!$D$6:$F$76,3,FALSE),""))</f>
        <v>Arizona</v>
      </c>
      <c r="F296" t="str">
        <f>IF($J296="","",IFERROR(VLOOKUP($J296,KEY!$D$6:$F$76,2,FALSE),""))</f>
        <v>Mercedes-Benz</v>
      </c>
      <c r="G296" t="str">
        <f t="shared" si="66"/>
        <v>Q3 Shop 1_Mercedes-Benz of Chandler</v>
      </c>
      <c r="H296" s="30">
        <f t="shared" si="67"/>
        <v>4</v>
      </c>
      <c r="I296" s="30">
        <f t="shared" si="68"/>
        <v>4</v>
      </c>
      <c r="J296" s="110" t="s">
        <v>132</v>
      </c>
      <c r="K296" t="s">
        <v>1</v>
      </c>
      <c r="L296" t="s">
        <v>384</v>
      </c>
      <c r="M296" t="s">
        <v>57</v>
      </c>
      <c r="N296" t="s">
        <v>57</v>
      </c>
      <c r="O296" t="s">
        <v>57</v>
      </c>
      <c r="P296" t="s">
        <v>57</v>
      </c>
    </row>
    <row r="297" spans="1:16">
      <c r="A297" s="23" t="str">
        <f t="shared" si="64"/>
        <v>Q3 Shop 1</v>
      </c>
      <c r="B297" s="36" t="str">
        <f t="shared" si="69"/>
        <v>Q3</v>
      </c>
      <c r="C297" s="33">
        <f t="shared" si="69"/>
        <v>1</v>
      </c>
      <c r="D297" t="str">
        <f t="shared" si="65"/>
        <v>Mercedes-Benz of North Scottsdale</v>
      </c>
      <c r="E297" t="str">
        <f>IF($J297="","",IFERROR(VLOOKUP($J297,KEY!$D$6:$F$76,3,FALSE),""))</f>
        <v>Arizona</v>
      </c>
      <c r="F297" t="str">
        <f>IF($J297="","",IFERROR(VLOOKUP($J297,KEY!$D$6:$F$76,2,FALSE),""))</f>
        <v>Mercedes-Benz</v>
      </c>
      <c r="G297" t="str">
        <f t="shared" si="66"/>
        <v>Q3 Shop 1_Mercedes-Benz of North Scottsdale</v>
      </c>
      <c r="H297" s="30">
        <f t="shared" si="67"/>
        <v>4</v>
      </c>
      <c r="I297" s="30">
        <f t="shared" si="68"/>
        <v>4</v>
      </c>
      <c r="J297" s="110" t="s">
        <v>134</v>
      </c>
      <c r="K297" t="s">
        <v>1</v>
      </c>
      <c r="L297" t="s">
        <v>323</v>
      </c>
      <c r="M297" t="s">
        <v>57</v>
      </c>
      <c r="N297" t="s">
        <v>57</v>
      </c>
      <c r="O297" t="s">
        <v>57</v>
      </c>
      <c r="P297" t="s">
        <v>57</v>
      </c>
    </row>
    <row r="298" spans="1:16">
      <c r="A298" s="23" t="str">
        <f t="shared" si="64"/>
        <v>Q3 Shop 1</v>
      </c>
      <c r="B298" s="36" t="str">
        <f t="shared" si="69"/>
        <v>Q3</v>
      </c>
      <c r="C298" s="33">
        <f t="shared" si="69"/>
        <v>1</v>
      </c>
      <c r="D298" t="str">
        <f t="shared" si="65"/>
        <v>MINI North Scottsdale</v>
      </c>
      <c r="E298" t="str">
        <f>IF($J298="","",IFERROR(VLOOKUP($J298,KEY!$D$6:$F$76,3,FALSE),""))</f>
        <v>Arizona</v>
      </c>
      <c r="F298" t="str">
        <f>IF($J298="","",IFERROR(VLOOKUP($J298,KEY!$D$6:$F$76,2,FALSE),""))</f>
        <v>MINI</v>
      </c>
      <c r="G298" t="str">
        <f t="shared" si="66"/>
        <v>Q3 Shop 1_MINI North Scottsdale</v>
      </c>
      <c r="H298" s="30">
        <f t="shared" si="67"/>
        <v>4</v>
      </c>
      <c r="I298" s="30">
        <f t="shared" si="68"/>
        <v>4</v>
      </c>
      <c r="J298" s="110" t="s">
        <v>138</v>
      </c>
      <c r="K298" t="s">
        <v>1</v>
      </c>
      <c r="L298" t="s">
        <v>385</v>
      </c>
      <c r="M298" t="s">
        <v>57</v>
      </c>
      <c r="N298" t="s">
        <v>57</v>
      </c>
      <c r="O298" t="s">
        <v>57</v>
      </c>
      <c r="P298" t="s">
        <v>57</v>
      </c>
    </row>
    <row r="299" spans="1:16">
      <c r="A299" s="23" t="str">
        <f t="shared" si="64"/>
        <v>Q3 Shop 1</v>
      </c>
      <c r="B299" s="36" t="str">
        <f t="shared" si="69"/>
        <v>Q3</v>
      </c>
      <c r="C299" s="33">
        <f t="shared" si="69"/>
        <v>1</v>
      </c>
      <c r="D299" t="str">
        <f t="shared" si="65"/>
        <v>MINI of Tempe</v>
      </c>
      <c r="E299" t="str">
        <f>IF($J299="","",IFERROR(VLOOKUP($J299,KEY!$D$6:$F$76,3,FALSE),""))</f>
        <v>Arizona</v>
      </c>
      <c r="F299" t="str">
        <f>IF($J299="","",IFERROR(VLOOKUP($J299,KEY!$D$6:$F$76,2,FALSE),""))</f>
        <v>MINI</v>
      </c>
      <c r="G299" t="str">
        <f t="shared" si="66"/>
        <v>Q3 Shop 1_MINI of Tempe</v>
      </c>
      <c r="H299" s="30">
        <f t="shared" si="67"/>
        <v>4</v>
      </c>
      <c r="I299" s="30">
        <f t="shared" si="68"/>
        <v>4</v>
      </c>
      <c r="J299" s="110" t="s">
        <v>148</v>
      </c>
      <c r="K299" t="s">
        <v>1</v>
      </c>
      <c r="L299" t="s">
        <v>386</v>
      </c>
      <c r="M299" t="s">
        <v>57</v>
      </c>
      <c r="N299" t="s">
        <v>57</v>
      </c>
      <c r="O299" t="s">
        <v>57</v>
      </c>
      <c r="P299" t="s">
        <v>57</v>
      </c>
    </row>
    <row r="300" spans="1:16">
      <c r="A300" s="23" t="str">
        <f t="shared" si="64"/>
        <v>Q3 Shop 1</v>
      </c>
      <c r="B300" s="36" t="str">
        <f t="shared" si="69"/>
        <v>Q3</v>
      </c>
      <c r="C300" s="33">
        <f t="shared" si="69"/>
        <v>1</v>
      </c>
      <c r="D300" t="str">
        <f t="shared" si="65"/>
        <v>Porsche North Scottsdale</v>
      </c>
      <c r="E300" t="str">
        <f>IF($J300="","",IFERROR(VLOOKUP($J300,KEY!$D$6:$F$76,3,FALSE),""))</f>
        <v>Arizona</v>
      </c>
      <c r="F300" t="str">
        <f>IF($J300="","",IFERROR(VLOOKUP($J300,KEY!$D$6:$F$76,2,FALSE),""))</f>
        <v>Porsche</v>
      </c>
      <c r="G300" t="str">
        <f t="shared" si="66"/>
        <v>Q3 Shop 1_Porsche North Scottsdale</v>
      </c>
      <c r="H300" s="30">
        <f t="shared" si="67"/>
        <v>4</v>
      </c>
      <c r="I300" s="30">
        <f t="shared" si="68"/>
        <v>4</v>
      </c>
      <c r="J300" s="110" t="s">
        <v>160</v>
      </c>
      <c r="K300" t="s">
        <v>1</v>
      </c>
      <c r="L300" t="s">
        <v>387</v>
      </c>
      <c r="M300" t="s">
        <v>57</v>
      </c>
      <c r="N300" t="s">
        <v>57</v>
      </c>
      <c r="O300" t="s">
        <v>57</v>
      </c>
      <c r="P300" t="s">
        <v>57</v>
      </c>
    </row>
    <row r="301" spans="1:16">
      <c r="A301" s="23" t="str">
        <f t="shared" si="64"/>
        <v>Q3 Shop 1</v>
      </c>
      <c r="B301" s="36" t="str">
        <f t="shared" si="69"/>
        <v>Q3</v>
      </c>
      <c r="C301" s="33">
        <f t="shared" si="69"/>
        <v>1</v>
      </c>
      <c r="D301" t="str">
        <f t="shared" si="65"/>
        <v>Scottsdale Ferrari Maserati</v>
      </c>
      <c r="E301" t="str">
        <f>IF($J301="","",IFERROR(VLOOKUP($J301,KEY!$D$6:$F$76,3,FALSE),""))</f>
        <v>Arizona</v>
      </c>
      <c r="F301" t="str">
        <f>IF($J301="","",IFERROR(VLOOKUP($J301,KEY!$D$6:$F$76,2,FALSE),""))</f>
        <v>Ultra</v>
      </c>
      <c r="G301" t="str">
        <f t="shared" si="66"/>
        <v>Q3 Shop 1_Scottsdale Ferrari Maserati</v>
      </c>
      <c r="H301" s="30">
        <f t="shared" si="67"/>
        <v>4</v>
      </c>
      <c r="I301" s="30">
        <f t="shared" si="68"/>
        <v>1</v>
      </c>
      <c r="J301" s="110" t="s">
        <v>170</v>
      </c>
      <c r="K301" t="s">
        <v>1</v>
      </c>
      <c r="L301" t="s">
        <v>388</v>
      </c>
      <c r="M301" t="s">
        <v>56</v>
      </c>
      <c r="N301" t="s">
        <v>56</v>
      </c>
      <c r="O301" t="s">
        <v>57</v>
      </c>
      <c r="P301" t="s">
        <v>56</v>
      </c>
    </row>
    <row r="302" spans="1:16">
      <c r="A302" s="23" t="str">
        <f t="shared" ref="A302:A356" si="70">B302&amp;" Shop "&amp;C302</f>
        <v>Q3 Shop 1</v>
      </c>
      <c r="B302" s="36" t="str">
        <f t="shared" ref="B302:C302" si="71">B301</f>
        <v>Q3</v>
      </c>
      <c r="C302" s="33">
        <f t="shared" si="71"/>
        <v>1</v>
      </c>
      <c r="D302" t="str">
        <f t="shared" si="65"/>
        <v>Tempe Honda</v>
      </c>
      <c r="E302" t="str">
        <f>IF($J302="","",IFERROR(VLOOKUP($J302,KEY!$D$6:$F$76,3,FALSE),""))</f>
        <v>Arizona</v>
      </c>
      <c r="F302" t="str">
        <f>IF($J302="","",IFERROR(VLOOKUP($J302,KEY!$D$6:$F$76,2,FALSE),""))</f>
        <v>Honda</v>
      </c>
      <c r="G302" t="str">
        <f t="shared" ref="G302:G356" si="72">IF($J302="","",A302&amp;"_"&amp;D302)</f>
        <v>Q3 Shop 1_Tempe Honda</v>
      </c>
      <c r="H302" s="30">
        <f t="shared" si="67"/>
        <v>4</v>
      </c>
      <c r="I302" s="30">
        <f t="shared" si="68"/>
        <v>4</v>
      </c>
      <c r="J302" s="110" t="s">
        <v>174</v>
      </c>
      <c r="K302" t="s">
        <v>1</v>
      </c>
      <c r="L302" t="s">
        <v>389</v>
      </c>
      <c r="M302" t="s">
        <v>57</v>
      </c>
      <c r="N302" t="s">
        <v>57</v>
      </c>
      <c r="O302" t="s">
        <v>57</v>
      </c>
      <c r="P302" t="s">
        <v>57</v>
      </c>
    </row>
    <row r="303" spans="1:16">
      <c r="A303" s="23" t="str">
        <f t="shared" si="70"/>
        <v>Q3 Shop 1</v>
      </c>
      <c r="B303" s="36" t="str">
        <f t="shared" ref="B303:C303" si="73">B302</f>
        <v>Q3</v>
      </c>
      <c r="C303" s="33">
        <f t="shared" si="73"/>
        <v>1</v>
      </c>
      <c r="D303" t="str">
        <f t="shared" si="65"/>
        <v>Toyota of Surprise</v>
      </c>
      <c r="E303" t="str">
        <f>IF($J303="","",IFERROR(VLOOKUP($J303,KEY!$D$6:$F$76,3,FALSE),""))</f>
        <v>Arizona</v>
      </c>
      <c r="F303" t="str">
        <f>IF($J303="","",IFERROR(VLOOKUP($J303,KEY!$D$6:$F$76,2,FALSE),""))</f>
        <v>Toyota</v>
      </c>
      <c r="G303" t="str">
        <f t="shared" si="72"/>
        <v>Q3 Shop 1_Toyota of Surprise</v>
      </c>
      <c r="H303" s="30">
        <f t="shared" si="67"/>
        <v>4</v>
      </c>
      <c r="I303" s="30">
        <f t="shared" si="68"/>
        <v>4</v>
      </c>
      <c r="J303" s="110" t="s">
        <v>178</v>
      </c>
      <c r="K303" t="s">
        <v>1</v>
      </c>
      <c r="L303" t="s">
        <v>390</v>
      </c>
      <c r="M303" t="s">
        <v>57</v>
      </c>
      <c r="N303" t="s">
        <v>57</v>
      </c>
      <c r="O303" t="s">
        <v>57</v>
      </c>
      <c r="P303" t="s">
        <v>57</v>
      </c>
    </row>
    <row r="304" spans="1:16">
      <c r="A304" s="23" t="str">
        <f t="shared" si="70"/>
        <v>Q3 Shop 1</v>
      </c>
      <c r="B304" s="36" t="str">
        <f t="shared" ref="B304:C304" si="74">B303</f>
        <v>Q3</v>
      </c>
      <c r="C304" s="33">
        <f t="shared" si="74"/>
        <v>1</v>
      </c>
      <c r="D304" t="str">
        <f t="shared" si="65"/>
        <v>Volkswagen North Scottsdale</v>
      </c>
      <c r="E304" t="str">
        <f>IF($J304="","",IFERROR(VLOOKUP($J304,KEY!$D$6:$F$76,3,FALSE),""))</f>
        <v>Arizona</v>
      </c>
      <c r="F304" t="str">
        <f>IF($J304="","",IFERROR(VLOOKUP($J304,KEY!$D$6:$F$76,2,FALSE),""))</f>
        <v>Volkswagen</v>
      </c>
      <c r="G304" t="str">
        <f t="shared" si="72"/>
        <v>Q3 Shop 1_Volkswagen North Scottsdale</v>
      </c>
      <c r="H304" s="30">
        <f t="shared" si="67"/>
        <v>4</v>
      </c>
      <c r="I304" s="30">
        <f t="shared" si="68"/>
        <v>2</v>
      </c>
      <c r="J304" s="110" t="s">
        <v>180</v>
      </c>
      <c r="K304" t="s">
        <v>1</v>
      </c>
      <c r="L304" t="s">
        <v>391</v>
      </c>
      <c r="M304" t="s">
        <v>57</v>
      </c>
      <c r="N304" t="s">
        <v>56</v>
      </c>
      <c r="O304" t="s">
        <v>56</v>
      </c>
      <c r="P304" t="s">
        <v>57</v>
      </c>
    </row>
    <row r="305" spans="1:16">
      <c r="A305" s="23" t="str">
        <f t="shared" si="70"/>
        <v>Q3 Shop 1</v>
      </c>
      <c r="B305" s="36" t="str">
        <f t="shared" ref="B305:C305" si="75">B304</f>
        <v>Q3</v>
      </c>
      <c r="C305" s="33">
        <f t="shared" si="75"/>
        <v>1</v>
      </c>
      <c r="D305" t="str">
        <f t="shared" si="65"/>
        <v>Audi San Jose</v>
      </c>
      <c r="E305" t="str">
        <f>IF($J305="","",IFERROR(VLOOKUP($J305,KEY!$D$6:$F$76,3,FALSE),""))</f>
        <v>Northern California</v>
      </c>
      <c r="F305" t="str">
        <f>IF($J305="","",IFERROR(VLOOKUP($J305,KEY!$D$6:$F$76,2,FALSE),""))</f>
        <v>Audi</v>
      </c>
      <c r="G305" t="str">
        <f t="shared" si="72"/>
        <v>Q3 Shop 1_Audi San Jose</v>
      </c>
      <c r="H305" s="30">
        <f t="shared" si="67"/>
        <v>4</v>
      </c>
      <c r="I305" s="30">
        <f t="shared" si="68"/>
        <v>3</v>
      </c>
      <c r="J305" s="110" t="s">
        <v>68</v>
      </c>
      <c r="K305" t="s">
        <v>1</v>
      </c>
      <c r="L305" t="s">
        <v>392</v>
      </c>
      <c r="M305" t="s">
        <v>57</v>
      </c>
      <c r="N305" t="s">
        <v>57</v>
      </c>
      <c r="O305" t="s">
        <v>57</v>
      </c>
      <c r="P305" t="s">
        <v>56</v>
      </c>
    </row>
    <row r="306" spans="1:16">
      <c r="A306" s="23" t="str">
        <f t="shared" si="70"/>
        <v>Q3 Shop 1</v>
      </c>
      <c r="B306" s="36" t="str">
        <f t="shared" ref="B306:C306" si="76">B305</f>
        <v>Q3</v>
      </c>
      <c r="C306" s="33">
        <f t="shared" si="76"/>
        <v>1</v>
      </c>
      <c r="D306" t="str">
        <f t="shared" si="65"/>
        <v>Capitol Honda</v>
      </c>
      <c r="E306" t="str">
        <f>IF($J306="","",IFERROR(VLOOKUP($J306,KEY!$D$6:$F$76,3,FALSE),""))</f>
        <v>Northern California</v>
      </c>
      <c r="F306" t="str">
        <f>IF($J306="","",IFERROR(VLOOKUP($J306,KEY!$D$6:$F$76,2,FALSE),""))</f>
        <v>Honda</v>
      </c>
      <c r="G306" t="str">
        <f t="shared" si="72"/>
        <v>Q3 Shop 1_Capitol Honda</v>
      </c>
      <c r="H306" s="30">
        <f t="shared" si="67"/>
        <v>4</v>
      </c>
      <c r="I306" s="30">
        <f t="shared" si="68"/>
        <v>4</v>
      </c>
      <c r="J306" s="110" t="s">
        <v>88</v>
      </c>
      <c r="K306" t="s">
        <v>1</v>
      </c>
      <c r="L306" t="s">
        <v>393</v>
      </c>
      <c r="M306" t="s">
        <v>57</v>
      </c>
      <c r="N306" t="s">
        <v>57</v>
      </c>
      <c r="O306" t="s">
        <v>57</v>
      </c>
      <c r="P306" t="s">
        <v>57</v>
      </c>
    </row>
    <row r="307" spans="1:16">
      <c r="A307" s="23" t="str">
        <f t="shared" si="70"/>
        <v>Q3 Shop 1</v>
      </c>
      <c r="B307" s="36" t="str">
        <f t="shared" ref="B307:C307" si="77">B306</f>
        <v>Q3</v>
      </c>
      <c r="C307" s="33">
        <f t="shared" si="77"/>
        <v>1</v>
      </c>
      <c r="D307" t="str">
        <f t="shared" si="65"/>
        <v>Honda North</v>
      </c>
      <c r="E307" t="str">
        <f>IF($J307="","",IFERROR(VLOOKUP($J307,KEY!$D$6:$F$76,3,FALSE),""))</f>
        <v>Northern California</v>
      </c>
      <c r="F307" t="str">
        <f>IF($J307="","",IFERROR(VLOOKUP($J307,KEY!$D$6:$F$76,2,FALSE),""))</f>
        <v>Honda</v>
      </c>
      <c r="G307" t="str">
        <f t="shared" si="72"/>
        <v>Q3 Shop 1_Honda North</v>
      </c>
      <c r="H307" s="30">
        <f t="shared" si="67"/>
        <v>4</v>
      </c>
      <c r="I307" s="30">
        <f t="shared" si="68"/>
        <v>3</v>
      </c>
      <c r="J307" s="110" t="s">
        <v>102</v>
      </c>
      <c r="K307" t="s">
        <v>1</v>
      </c>
      <c r="L307" t="s">
        <v>394</v>
      </c>
      <c r="M307" t="s">
        <v>57</v>
      </c>
      <c r="N307" t="s">
        <v>57</v>
      </c>
      <c r="O307" t="s">
        <v>57</v>
      </c>
      <c r="P307" t="s">
        <v>56</v>
      </c>
    </row>
    <row r="308" spans="1:16">
      <c r="A308" s="23" t="str">
        <f t="shared" si="70"/>
        <v>Q3 Shop 1</v>
      </c>
      <c r="B308" s="36" t="str">
        <f t="shared" ref="B308:C308" si="78">B307</f>
        <v>Q3</v>
      </c>
      <c r="C308" s="33">
        <f t="shared" si="78"/>
        <v>1</v>
      </c>
      <c r="D308" t="str">
        <f t="shared" si="65"/>
        <v>Capitol Acura</v>
      </c>
      <c r="E308" t="str">
        <f>IF($J308="","",IFERROR(VLOOKUP($J308,KEY!$D$6:$F$76,3,FALSE),""))</f>
        <v>Northern California</v>
      </c>
      <c r="F308" t="str">
        <f>IF($J308="","",IFERROR(VLOOKUP($J308,KEY!$D$6:$F$76,2,FALSE),""))</f>
        <v>Acura</v>
      </c>
      <c r="G308" t="str">
        <f t="shared" si="72"/>
        <v>Q3 Shop 1_Capitol Acura</v>
      </c>
      <c r="H308" s="30">
        <f t="shared" si="67"/>
        <v>4</v>
      </c>
      <c r="I308" s="30">
        <f t="shared" si="68"/>
        <v>3</v>
      </c>
      <c r="J308" s="110" t="s">
        <v>86</v>
      </c>
      <c r="K308" t="s">
        <v>1</v>
      </c>
      <c r="L308" t="s">
        <v>395</v>
      </c>
      <c r="M308" t="s">
        <v>56</v>
      </c>
      <c r="N308" t="s">
        <v>57</v>
      </c>
      <c r="O308" t="s">
        <v>57</v>
      </c>
      <c r="P308" t="s">
        <v>57</v>
      </c>
    </row>
    <row r="309" spans="1:16">
      <c r="A309" s="23" t="str">
        <f t="shared" si="70"/>
        <v>Q3 Shop 1</v>
      </c>
      <c r="B309" s="36" t="str">
        <f t="shared" ref="B309:C309" si="79">B308</f>
        <v>Q3</v>
      </c>
      <c r="C309" s="33">
        <f t="shared" si="79"/>
        <v>1</v>
      </c>
      <c r="D309" t="str">
        <f t="shared" si="65"/>
        <v>MINI of Marin</v>
      </c>
      <c r="E309" t="str">
        <f>IF($J309="","",IFERROR(VLOOKUP($J309,KEY!$D$6:$F$76,3,FALSE),""))</f>
        <v>Northern California</v>
      </c>
      <c r="F309" t="str">
        <f>IF($J309="","",IFERROR(VLOOKUP($J309,KEY!$D$6:$F$76,2,FALSE),""))</f>
        <v>MINI</v>
      </c>
      <c r="G309" t="str">
        <f t="shared" si="72"/>
        <v>Q3 Shop 1_MINI of Marin</v>
      </c>
      <c r="H309" s="30">
        <f t="shared" si="67"/>
        <v>4</v>
      </c>
      <c r="I309" s="30">
        <f t="shared" si="68"/>
        <v>3</v>
      </c>
      <c r="J309" s="110" t="s">
        <v>142</v>
      </c>
      <c r="K309" t="s">
        <v>1</v>
      </c>
      <c r="L309" t="s">
        <v>396</v>
      </c>
      <c r="M309" t="s">
        <v>57</v>
      </c>
      <c r="N309" t="s">
        <v>57</v>
      </c>
      <c r="O309" t="s">
        <v>57</v>
      </c>
      <c r="P309" t="s">
        <v>56</v>
      </c>
    </row>
    <row r="310" spans="1:16">
      <c r="A310" s="23" t="str">
        <f t="shared" si="70"/>
        <v>Q3 Shop 1</v>
      </c>
      <c r="B310" s="36" t="str">
        <f t="shared" ref="B310:C310" si="80">B309</f>
        <v>Q3</v>
      </c>
      <c r="C310" s="33">
        <f t="shared" si="80"/>
        <v>1</v>
      </c>
      <c r="D310" t="str">
        <f t="shared" si="65"/>
        <v>Peter Pan BMW</v>
      </c>
      <c r="E310" t="str">
        <f>IF($J310="","",IFERROR(VLOOKUP($J310,KEY!$D$6:$F$76,3,FALSE),""))</f>
        <v>Northern California</v>
      </c>
      <c r="F310" t="str">
        <f>IF($J310="","",IFERROR(VLOOKUP($J310,KEY!$D$6:$F$76,2,FALSE),""))</f>
        <v>BMW</v>
      </c>
      <c r="G310" t="str">
        <f t="shared" si="72"/>
        <v>Q3 Shop 1_Peter Pan BMW</v>
      </c>
      <c r="H310" s="30">
        <f t="shared" si="67"/>
        <v>4</v>
      </c>
      <c r="I310" s="30">
        <f t="shared" si="68"/>
        <v>1</v>
      </c>
      <c r="J310" s="110" t="s">
        <v>158</v>
      </c>
      <c r="K310" t="s">
        <v>1</v>
      </c>
      <c r="L310" t="s">
        <v>336</v>
      </c>
      <c r="M310" t="s">
        <v>56</v>
      </c>
      <c r="N310" t="s">
        <v>56</v>
      </c>
      <c r="O310" t="s">
        <v>56</v>
      </c>
      <c r="P310" t="s">
        <v>57</v>
      </c>
    </row>
    <row r="311" spans="1:16">
      <c r="A311" s="23" t="str">
        <f t="shared" si="70"/>
        <v>Q3 Shop 1</v>
      </c>
      <c r="B311" s="36" t="str">
        <f t="shared" ref="B311:C311" si="81">B310</f>
        <v>Q3</v>
      </c>
      <c r="C311" s="33">
        <f t="shared" si="81"/>
        <v>1</v>
      </c>
      <c r="D311" t="str">
        <f t="shared" si="65"/>
        <v>Porsche Stevens Creek</v>
      </c>
      <c r="E311" t="str">
        <f>IF($J311="","",IFERROR(VLOOKUP($J311,KEY!$D$6:$F$76,3,FALSE),""))</f>
        <v>Northern California</v>
      </c>
      <c r="F311" t="str">
        <f>IF($J311="","",IFERROR(VLOOKUP($J311,KEY!$D$6:$F$76,2,FALSE),""))</f>
        <v>Porsche</v>
      </c>
      <c r="G311" t="str">
        <f t="shared" si="72"/>
        <v>Q3 Shop 1_Porsche Stevens Creek</v>
      </c>
      <c r="H311" s="30">
        <f t="shared" si="67"/>
        <v>4</v>
      </c>
      <c r="I311" s="30">
        <f t="shared" si="68"/>
        <v>4</v>
      </c>
      <c r="J311" s="110" t="s">
        <v>162</v>
      </c>
      <c r="K311" t="s">
        <v>1</v>
      </c>
      <c r="L311" t="s">
        <v>397</v>
      </c>
      <c r="M311" t="s">
        <v>57</v>
      </c>
      <c r="N311" t="s">
        <v>57</v>
      </c>
      <c r="O311" t="s">
        <v>57</v>
      </c>
      <c r="P311" t="s">
        <v>57</v>
      </c>
    </row>
    <row r="312" spans="1:16">
      <c r="A312" s="23" t="str">
        <f t="shared" si="70"/>
        <v>Q3 Shop 1</v>
      </c>
      <c r="B312" s="36" t="str">
        <f t="shared" ref="B312:C312" si="82">B311</f>
        <v>Q3</v>
      </c>
      <c r="C312" s="33">
        <f t="shared" si="82"/>
        <v>1</v>
      </c>
      <c r="D312" t="str">
        <f t="shared" si="65"/>
        <v>Toyota of Clovis</v>
      </c>
      <c r="E312" t="str">
        <f>IF($J312="","",IFERROR(VLOOKUP($J312,KEY!$D$6:$F$76,3,FALSE),""))</f>
        <v>Northern California</v>
      </c>
      <c r="F312" t="str">
        <f>IF($J312="","",IFERROR(VLOOKUP($J312,KEY!$D$6:$F$76,2,FALSE),""))</f>
        <v>Toyota</v>
      </c>
      <c r="G312" t="str">
        <f t="shared" si="72"/>
        <v>Q3 Shop 1_Toyota of Clovis</v>
      </c>
      <c r="H312" s="30">
        <f t="shared" si="67"/>
        <v>4</v>
      </c>
      <c r="I312" s="30">
        <f t="shared" si="68"/>
        <v>4</v>
      </c>
      <c r="J312" s="110" t="s">
        <v>176</v>
      </c>
      <c r="K312" t="s">
        <v>1</v>
      </c>
      <c r="L312" t="s">
        <v>398</v>
      </c>
      <c r="M312" t="s">
        <v>57</v>
      </c>
      <c r="N312" t="s">
        <v>57</v>
      </c>
      <c r="O312" t="s">
        <v>57</v>
      </c>
      <c r="P312" t="s">
        <v>57</v>
      </c>
    </row>
    <row r="313" spans="1:16">
      <c r="A313" s="23" t="str">
        <f t="shared" si="70"/>
        <v>Q3 Shop 1</v>
      </c>
      <c r="B313" s="36" t="str">
        <f t="shared" ref="B313:C313" si="83">B312</f>
        <v>Q3</v>
      </c>
      <c r="C313" s="33">
        <f t="shared" si="83"/>
        <v>1</v>
      </c>
      <c r="D313" t="str">
        <f t="shared" si="65"/>
        <v>Audi North OC</v>
      </c>
      <c r="E313" t="str">
        <f>IF($J313="","",IFERROR(VLOOKUP($J313,KEY!$D$6:$F$76,3,FALSE),""))</f>
        <v>Orange County</v>
      </c>
      <c r="F313" t="str">
        <f>IF($J313="","",IFERROR(VLOOKUP($J313,KEY!$D$6:$F$76,2,FALSE),""))</f>
        <v>Audi</v>
      </c>
      <c r="G313" t="str">
        <f t="shared" si="72"/>
        <v>Q3 Shop 1_Audi North OC</v>
      </c>
      <c r="H313" s="30">
        <f t="shared" si="67"/>
        <v>4</v>
      </c>
      <c r="I313" s="30">
        <f t="shared" si="68"/>
        <v>4</v>
      </c>
      <c r="J313" s="110" t="s">
        <v>64</v>
      </c>
      <c r="K313" t="s">
        <v>1</v>
      </c>
      <c r="L313" t="s">
        <v>399</v>
      </c>
      <c r="M313" t="s">
        <v>57</v>
      </c>
      <c r="N313" t="s">
        <v>57</v>
      </c>
      <c r="O313" t="s">
        <v>57</v>
      </c>
      <c r="P313" t="s">
        <v>57</v>
      </c>
    </row>
    <row r="314" spans="1:16">
      <c r="A314" s="23" t="str">
        <f t="shared" si="70"/>
        <v>Q3 Shop 1</v>
      </c>
      <c r="B314" s="36" t="str">
        <f t="shared" ref="B314:C314" si="84">B313</f>
        <v>Q3</v>
      </c>
      <c r="C314" s="33">
        <f t="shared" si="84"/>
        <v>1</v>
      </c>
      <c r="D314" t="str">
        <f t="shared" si="65"/>
        <v>Audi South Coast</v>
      </c>
      <c r="E314" t="str">
        <f>IF($J314="","",IFERROR(VLOOKUP($J314,KEY!$D$6:$F$76,3,FALSE),""))</f>
        <v>Orange County</v>
      </c>
      <c r="F314" t="str">
        <f>IF($J314="","",IFERROR(VLOOKUP($J314,KEY!$D$6:$F$76,2,FALSE),""))</f>
        <v>Audi</v>
      </c>
      <c r="G314" t="str">
        <f t="shared" si="72"/>
        <v>Q3 Shop 1_Audi South Coast</v>
      </c>
      <c r="H314" s="30">
        <f t="shared" si="67"/>
        <v>4</v>
      </c>
      <c r="I314" s="30">
        <f t="shared" si="68"/>
        <v>3</v>
      </c>
      <c r="J314" s="110" t="s">
        <v>70</v>
      </c>
      <c r="K314" t="s">
        <v>1</v>
      </c>
      <c r="L314" t="s">
        <v>400</v>
      </c>
      <c r="M314" t="s">
        <v>57</v>
      </c>
      <c r="N314" t="s">
        <v>57</v>
      </c>
      <c r="O314" t="s">
        <v>57</v>
      </c>
      <c r="P314" t="s">
        <v>56</v>
      </c>
    </row>
    <row r="315" spans="1:16">
      <c r="A315" s="23" t="str">
        <f t="shared" si="70"/>
        <v>Q3 Shop 1</v>
      </c>
      <c r="B315" s="36" t="str">
        <f t="shared" ref="B315:C315" si="85">B314</f>
        <v>Q3</v>
      </c>
      <c r="C315" s="33">
        <f t="shared" si="85"/>
        <v>1</v>
      </c>
      <c r="D315" t="str">
        <f t="shared" si="65"/>
        <v>BMW of Ontario</v>
      </c>
      <c r="E315" t="str">
        <f>IF($J315="","",IFERROR(VLOOKUP($J315,KEY!$D$6:$F$76,3,FALSE),""))</f>
        <v>Orange County</v>
      </c>
      <c r="F315" t="str">
        <f>IF($J315="","",IFERROR(VLOOKUP($J315,KEY!$D$6:$F$76,2,FALSE),""))</f>
        <v>BMW</v>
      </c>
      <c r="G315" t="str">
        <f t="shared" si="72"/>
        <v>Q3 Shop 1_BMW of Ontario</v>
      </c>
      <c r="H315" s="30">
        <f t="shared" si="67"/>
        <v>4</v>
      </c>
      <c r="I315" s="30">
        <f t="shared" si="68"/>
        <v>4</v>
      </c>
      <c r="J315" s="110" t="s">
        <v>80</v>
      </c>
      <c r="K315" t="s">
        <v>1</v>
      </c>
      <c r="L315" t="s">
        <v>401</v>
      </c>
      <c r="M315" t="s">
        <v>57</v>
      </c>
      <c r="N315" t="s">
        <v>57</v>
      </c>
      <c r="O315" t="s">
        <v>57</v>
      </c>
      <c r="P315" t="s">
        <v>57</v>
      </c>
    </row>
    <row r="316" spans="1:16">
      <c r="A316" s="23" t="str">
        <f t="shared" si="70"/>
        <v>Q3 Shop 1</v>
      </c>
      <c r="B316" s="36" t="str">
        <f t="shared" ref="B316:C316" si="86">B315</f>
        <v>Q3</v>
      </c>
      <c r="C316" s="33">
        <f t="shared" si="86"/>
        <v>1</v>
      </c>
      <c r="D316" t="str">
        <f t="shared" si="65"/>
        <v>Crevier BMW</v>
      </c>
      <c r="E316" t="str">
        <f>IF($J316="","",IFERROR(VLOOKUP($J316,KEY!$D$6:$F$76,3,FALSE),""))</f>
        <v>Orange County</v>
      </c>
      <c r="F316" t="str">
        <f>IF($J316="","",IFERROR(VLOOKUP($J316,KEY!$D$6:$F$76,2,FALSE),""))</f>
        <v>BMW</v>
      </c>
      <c r="G316" t="str">
        <f t="shared" si="72"/>
        <v>Q3 Shop 1_Crevier BMW</v>
      </c>
      <c r="H316" s="30">
        <f t="shared" si="67"/>
        <v>4</v>
      </c>
      <c r="I316" s="30">
        <f t="shared" si="68"/>
        <v>4</v>
      </c>
      <c r="J316" s="110" t="s">
        <v>90</v>
      </c>
      <c r="K316" t="s">
        <v>1</v>
      </c>
      <c r="L316" t="s">
        <v>402</v>
      </c>
      <c r="M316" t="s">
        <v>57</v>
      </c>
      <c r="N316" t="s">
        <v>57</v>
      </c>
      <c r="O316" t="s">
        <v>57</v>
      </c>
      <c r="P316" t="s">
        <v>57</v>
      </c>
    </row>
    <row r="317" spans="1:16">
      <c r="A317" s="23" t="str">
        <f t="shared" si="70"/>
        <v>Q3 Shop 1</v>
      </c>
      <c r="B317" s="36" t="str">
        <f t="shared" ref="B317:C317" si="87">B316</f>
        <v>Q3</v>
      </c>
      <c r="C317" s="33">
        <f t="shared" si="87"/>
        <v>1</v>
      </c>
      <c r="D317" t="str">
        <f t="shared" si="65"/>
        <v>Crevier MINI</v>
      </c>
      <c r="E317" t="str">
        <f>IF($J317="","",IFERROR(VLOOKUP($J317,KEY!$D$6:$F$76,3,FALSE),""))</f>
        <v>Orange County</v>
      </c>
      <c r="F317" t="str">
        <f>IF($J317="","",IFERROR(VLOOKUP($J317,KEY!$D$6:$F$76,2,FALSE),""))</f>
        <v>MINI</v>
      </c>
      <c r="G317" t="str">
        <f t="shared" si="72"/>
        <v>Q3 Shop 1_Crevier MINI</v>
      </c>
      <c r="H317" s="30">
        <f t="shared" si="67"/>
        <v>4</v>
      </c>
      <c r="I317" s="30">
        <f t="shared" si="68"/>
        <v>4</v>
      </c>
      <c r="J317" s="110" t="s">
        <v>92</v>
      </c>
      <c r="K317" t="s">
        <v>1</v>
      </c>
      <c r="L317" t="s">
        <v>403</v>
      </c>
      <c r="M317" t="s">
        <v>57</v>
      </c>
      <c r="N317" t="s">
        <v>57</v>
      </c>
      <c r="O317" t="s">
        <v>57</v>
      </c>
      <c r="P317" t="s">
        <v>57</v>
      </c>
    </row>
    <row r="318" spans="1:16">
      <c r="A318" s="23" t="str">
        <f t="shared" si="70"/>
        <v>Q3 Shop 1</v>
      </c>
      <c r="B318" s="36" t="str">
        <f t="shared" ref="B318:C318" si="88">B317</f>
        <v>Q3</v>
      </c>
      <c r="C318" s="33">
        <f t="shared" si="88"/>
        <v>1</v>
      </c>
      <c r="D318" t="str">
        <f t="shared" si="65"/>
        <v>Lincoln South Coast</v>
      </c>
      <c r="E318" t="str">
        <f>IF($J318="","",IFERROR(VLOOKUP($J318,KEY!$D$6:$F$76,3,FALSE),""))</f>
        <v>Orange County</v>
      </c>
      <c r="F318" t="str">
        <f>IF($J318="","",IFERROR(VLOOKUP($J318,KEY!$D$6:$F$76,2,FALSE),""))</f>
        <v>Lincoln</v>
      </c>
      <c r="G318" t="str">
        <f t="shared" si="72"/>
        <v>Q3 Shop 1_Lincoln South Coast</v>
      </c>
      <c r="H318" s="30">
        <f t="shared" si="67"/>
        <v>4</v>
      </c>
      <c r="I318" s="30">
        <f t="shared" si="68"/>
        <v>4</v>
      </c>
      <c r="J318" s="110" t="s">
        <v>128</v>
      </c>
      <c r="K318" t="s">
        <v>1</v>
      </c>
      <c r="L318" t="s">
        <v>404</v>
      </c>
      <c r="M318" t="s">
        <v>57</v>
      </c>
      <c r="N318" t="s">
        <v>57</v>
      </c>
      <c r="O318" t="s">
        <v>57</v>
      </c>
      <c r="P318" t="s">
        <v>57</v>
      </c>
    </row>
    <row r="319" spans="1:16">
      <c r="A319" s="23" t="str">
        <f t="shared" si="70"/>
        <v>Q3 Shop 1</v>
      </c>
      <c r="B319" s="36" t="str">
        <f t="shared" ref="B319:C319" si="89">B318</f>
        <v>Q3</v>
      </c>
      <c r="C319" s="33">
        <f t="shared" si="89"/>
        <v>1</v>
      </c>
      <c r="D319" t="str">
        <f t="shared" si="65"/>
        <v>MINI of Ontario</v>
      </c>
      <c r="E319" t="str">
        <f>IF($J319="","",IFERROR(VLOOKUP($J319,KEY!$D$6:$F$76,3,FALSE),""))</f>
        <v>Orange County</v>
      </c>
      <c r="F319" t="str">
        <f>IF($J319="","",IFERROR(VLOOKUP($J319,KEY!$D$6:$F$76,2,FALSE),""))</f>
        <v>MINI</v>
      </c>
      <c r="G319" t="str">
        <f t="shared" si="72"/>
        <v>Q3 Shop 1_MINI of Ontario</v>
      </c>
      <c r="H319" s="30">
        <f t="shared" ref="H319:H350" si="90">IF($J319="","",COUNTIF($M319:$V319,"*"))</f>
        <v>4</v>
      </c>
      <c r="I319" s="30">
        <f t="shared" ref="I319:I350" si="91">IF($J319="","",COUNTIF($M319:$V319,"YES*"))</f>
        <v>3</v>
      </c>
      <c r="J319" s="110" t="s">
        <v>144</v>
      </c>
      <c r="K319" t="s">
        <v>1</v>
      </c>
      <c r="L319" t="s">
        <v>405</v>
      </c>
      <c r="M319" t="s">
        <v>57</v>
      </c>
      <c r="N319" t="s">
        <v>56</v>
      </c>
      <c r="O319" t="s">
        <v>57</v>
      </c>
      <c r="P319" t="s">
        <v>57</v>
      </c>
    </row>
    <row r="320" spans="1:16">
      <c r="A320" s="23" t="str">
        <f t="shared" si="70"/>
        <v>Q3 Shop 1</v>
      </c>
      <c r="B320" s="36" t="str">
        <f t="shared" ref="B320:C320" si="92">B319</f>
        <v>Q3</v>
      </c>
      <c r="C320" s="33">
        <f t="shared" si="92"/>
        <v>1</v>
      </c>
      <c r="D320" t="str">
        <f t="shared" si="65"/>
        <v>Subaru Orange Coast</v>
      </c>
      <c r="E320" t="str">
        <f>IF($J320="","",IFERROR(VLOOKUP($J320,KEY!$D$6:$F$76,3,FALSE),""))</f>
        <v>Orange County</v>
      </c>
      <c r="F320" t="str">
        <f>IF($J320="","",IFERROR(VLOOKUP($J320,KEY!$D$6:$F$76,2,FALSE),""))</f>
        <v>Subaru</v>
      </c>
      <c r="G320" t="str">
        <f t="shared" si="72"/>
        <v>Q3 Shop 1_Subaru Orange Coast</v>
      </c>
      <c r="H320" s="30">
        <f t="shared" si="90"/>
        <v>4</v>
      </c>
      <c r="I320" s="30">
        <f t="shared" si="91"/>
        <v>3</v>
      </c>
      <c r="J320" s="110" t="s">
        <v>172</v>
      </c>
      <c r="K320" t="s">
        <v>1</v>
      </c>
      <c r="L320" t="s">
        <v>406</v>
      </c>
      <c r="M320" t="s">
        <v>56</v>
      </c>
      <c r="N320" t="s">
        <v>57</v>
      </c>
      <c r="O320" t="s">
        <v>57</v>
      </c>
      <c r="P320" t="s">
        <v>57</v>
      </c>
    </row>
    <row r="321" spans="1:16">
      <c r="A321" s="23" t="str">
        <f t="shared" si="70"/>
        <v>Q3 Shop 1</v>
      </c>
      <c r="B321" s="36" t="str">
        <f t="shared" ref="B321:C321" si="93">B320</f>
        <v>Q3</v>
      </c>
      <c r="C321" s="33">
        <f t="shared" si="93"/>
        <v>1</v>
      </c>
      <c r="D321" t="str">
        <f t="shared" si="65"/>
        <v>Volkswagen South Coast</v>
      </c>
      <c r="E321" t="str">
        <f>IF($J321="","",IFERROR(VLOOKUP($J321,KEY!$D$6:$F$76,3,FALSE),""))</f>
        <v>Orange County</v>
      </c>
      <c r="F321" t="str">
        <f>IF($J321="","",IFERROR(VLOOKUP($J321,KEY!$D$6:$F$76,2,FALSE),""))</f>
        <v>Volkswagen</v>
      </c>
      <c r="G321" t="str">
        <f t="shared" si="72"/>
        <v>Q3 Shop 1_Volkswagen South Coast</v>
      </c>
      <c r="H321" s="30">
        <f t="shared" si="90"/>
        <v>4</v>
      </c>
      <c r="I321" s="30">
        <f t="shared" si="91"/>
        <v>2</v>
      </c>
      <c r="J321" s="6" t="s">
        <v>182</v>
      </c>
      <c r="K321" t="s">
        <v>1</v>
      </c>
      <c r="L321" t="s">
        <v>355</v>
      </c>
      <c r="M321" t="s">
        <v>56</v>
      </c>
      <c r="N321" t="s">
        <v>56</v>
      </c>
      <c r="O321" t="s">
        <v>57</v>
      </c>
      <c r="P321" t="s">
        <v>57</v>
      </c>
    </row>
    <row r="322" spans="1:16">
      <c r="A322" s="23" t="str">
        <f t="shared" si="70"/>
        <v>Q3 Shop 1</v>
      </c>
      <c r="B322" s="36" t="str">
        <f t="shared" ref="B322:C322" si="94">B321</f>
        <v>Q3</v>
      </c>
      <c r="C322" s="33">
        <f t="shared" si="94"/>
        <v>1</v>
      </c>
      <c r="D322" t="str">
        <f t="shared" si="65"/>
        <v>Acura of Escondido</v>
      </c>
      <c r="E322" t="str">
        <f>IF($J322="","",IFERROR(VLOOKUP($J322,KEY!$D$6:$F$76,3,FALSE),""))</f>
        <v>Southern California</v>
      </c>
      <c r="F322" t="str">
        <f>IF($J322="","",IFERROR(VLOOKUP($J322,KEY!$D$6:$F$76,2,FALSE),""))</f>
        <v>Acura</v>
      </c>
      <c r="G322" t="str">
        <f t="shared" si="72"/>
        <v>Q3 Shop 1_Acura of Escondido</v>
      </c>
      <c r="H322" s="30">
        <f t="shared" si="90"/>
        <v>4</v>
      </c>
      <c r="I322" s="30">
        <f t="shared" si="91"/>
        <v>3</v>
      </c>
      <c r="J322" s="6" t="s">
        <v>58</v>
      </c>
      <c r="K322" t="s">
        <v>1</v>
      </c>
      <c r="L322" t="s">
        <v>407</v>
      </c>
      <c r="M322" t="s">
        <v>57</v>
      </c>
      <c r="N322" t="s">
        <v>57</v>
      </c>
      <c r="O322" t="s">
        <v>57</v>
      </c>
      <c r="P322" t="s">
        <v>56</v>
      </c>
    </row>
    <row r="323" spans="1:16">
      <c r="A323" s="23" t="str">
        <f t="shared" si="70"/>
        <v>Q3 Shop 1</v>
      </c>
      <c r="B323" s="36" t="str">
        <f t="shared" ref="B323:C323" si="95">B322</f>
        <v>Q3</v>
      </c>
      <c r="C323" s="33">
        <f t="shared" si="95"/>
        <v>1</v>
      </c>
      <c r="D323" t="str">
        <f t="shared" si="65"/>
        <v>Audi Escondido</v>
      </c>
      <c r="E323" t="str">
        <f>IF($J323="","",IFERROR(VLOOKUP($J323,KEY!$D$6:$F$76,3,FALSE),""))</f>
        <v>Southern California</v>
      </c>
      <c r="F323" t="str">
        <f>IF($J323="","",IFERROR(VLOOKUP($J323,KEY!$D$6:$F$76,2,FALSE),""))</f>
        <v>Audi</v>
      </c>
      <c r="G323" t="str">
        <f t="shared" si="72"/>
        <v>Q3 Shop 1_Audi Escondido</v>
      </c>
      <c r="H323" s="30">
        <f t="shared" si="90"/>
        <v>4</v>
      </c>
      <c r="I323" s="30">
        <f t="shared" si="91"/>
        <v>4</v>
      </c>
      <c r="J323" s="110" t="s">
        <v>62</v>
      </c>
      <c r="K323" t="s">
        <v>1</v>
      </c>
      <c r="L323" t="s">
        <v>357</v>
      </c>
      <c r="M323" t="s">
        <v>57</v>
      </c>
      <c r="N323" t="s">
        <v>57</v>
      </c>
      <c r="O323" t="s">
        <v>57</v>
      </c>
      <c r="P323" t="s">
        <v>57</v>
      </c>
    </row>
    <row r="324" spans="1:16">
      <c r="A324" s="23" t="str">
        <f t="shared" si="70"/>
        <v>Q3 Shop 1</v>
      </c>
      <c r="B324" s="36" t="str">
        <f t="shared" ref="B324:C324" si="96">B323</f>
        <v>Q3</v>
      </c>
      <c r="C324" s="33">
        <f t="shared" si="96"/>
        <v>1</v>
      </c>
      <c r="D324" t="str">
        <f t="shared" si="65"/>
        <v>BMW/MINI of Escondido</v>
      </c>
      <c r="E324" t="str">
        <f>IF($J324="","",IFERROR(VLOOKUP($J324,KEY!$D$6:$F$76,3,FALSE),""))</f>
        <v>Southern California</v>
      </c>
      <c r="F324" t="str">
        <f>IF($J324="","",IFERROR(VLOOKUP($J324,KEY!$D$6:$F$76,2,FALSE),""))</f>
        <v>BMW</v>
      </c>
      <c r="G324" t="str">
        <f t="shared" si="72"/>
        <v>Q3 Shop 1_BMW/MINI of Escondido</v>
      </c>
      <c r="H324" s="30">
        <f t="shared" si="90"/>
        <v>4</v>
      </c>
      <c r="I324" s="30">
        <f t="shared" si="91"/>
        <v>2</v>
      </c>
      <c r="J324" s="110" t="s">
        <v>84</v>
      </c>
      <c r="K324" t="s">
        <v>1</v>
      </c>
      <c r="L324" t="s">
        <v>408</v>
      </c>
      <c r="M324" t="s">
        <v>57</v>
      </c>
      <c r="N324" t="s">
        <v>56</v>
      </c>
      <c r="O324" t="s">
        <v>57</v>
      </c>
      <c r="P324" t="s">
        <v>56</v>
      </c>
    </row>
    <row r="325" spans="1:16">
      <c r="A325" s="23" t="str">
        <f t="shared" si="70"/>
        <v>Q3 Shop 1</v>
      </c>
      <c r="B325" s="36" t="str">
        <f t="shared" ref="B325:C325" si="97">B324</f>
        <v>Q3</v>
      </c>
      <c r="C325" s="33">
        <f t="shared" si="97"/>
        <v>1</v>
      </c>
      <c r="D325" t="str">
        <f t="shared" si="65"/>
        <v>BMW of San Diego</v>
      </c>
      <c r="E325" t="str">
        <f>IF($J325="","",IFERROR(VLOOKUP($J325,KEY!$D$6:$F$76,3,FALSE),""))</f>
        <v>Southern California</v>
      </c>
      <c r="F325" t="str">
        <f>IF($J325="","",IFERROR(VLOOKUP($J325,KEY!$D$6:$F$76,2,FALSE),""))</f>
        <v>BMW</v>
      </c>
      <c r="G325" t="str">
        <f t="shared" si="72"/>
        <v>Q3 Shop 1_BMW of San Diego</v>
      </c>
      <c r="H325" s="30">
        <f t="shared" si="90"/>
        <v>4</v>
      </c>
      <c r="I325" s="30">
        <f t="shared" si="91"/>
        <v>3</v>
      </c>
      <c r="J325" s="110" t="s">
        <v>82</v>
      </c>
      <c r="K325" t="s">
        <v>1</v>
      </c>
      <c r="L325" t="s">
        <v>409</v>
      </c>
      <c r="M325" t="s">
        <v>57</v>
      </c>
      <c r="N325" t="s">
        <v>57</v>
      </c>
      <c r="O325" t="s">
        <v>56</v>
      </c>
      <c r="P325" t="s">
        <v>57</v>
      </c>
    </row>
    <row r="326" spans="1:16">
      <c r="A326" s="23" t="str">
        <f t="shared" si="70"/>
        <v>Q3 Shop 1</v>
      </c>
      <c r="B326" s="36" t="str">
        <f t="shared" ref="B326:C326" si="98">B325</f>
        <v>Q3</v>
      </c>
      <c r="C326" s="33">
        <f t="shared" si="98"/>
        <v>1</v>
      </c>
      <c r="D326" t="str">
        <f t="shared" si="65"/>
        <v>Honda of Escondido</v>
      </c>
      <c r="E326" t="str">
        <f>IF($J326="","",IFERROR(VLOOKUP($J326,KEY!$D$6:$F$76,3,FALSE),""))</f>
        <v>Southern California</v>
      </c>
      <c r="F326" t="str">
        <f>IF($J326="","",IFERROR(VLOOKUP($J326,KEY!$D$6:$F$76,2,FALSE),""))</f>
        <v>Honda</v>
      </c>
      <c r="G326" t="str">
        <f t="shared" si="72"/>
        <v>Q3 Shop 1_Honda of Escondido</v>
      </c>
      <c r="H326" s="30">
        <f t="shared" si="90"/>
        <v>4</v>
      </c>
      <c r="I326" s="30">
        <f t="shared" si="91"/>
        <v>4</v>
      </c>
      <c r="J326" s="110" t="s">
        <v>104</v>
      </c>
      <c r="K326" t="s">
        <v>1</v>
      </c>
      <c r="L326" t="s">
        <v>410</v>
      </c>
      <c r="M326" t="s">
        <v>57</v>
      </c>
      <c r="N326" t="s">
        <v>57</v>
      </c>
      <c r="O326" t="s">
        <v>57</v>
      </c>
      <c r="P326" t="s">
        <v>57</v>
      </c>
    </row>
    <row r="327" spans="1:16">
      <c r="A327" s="23" t="str">
        <f t="shared" si="70"/>
        <v>Q3 Shop 1</v>
      </c>
      <c r="B327" s="36" t="str">
        <f t="shared" ref="B327:C327" si="99">B326</f>
        <v>Q3</v>
      </c>
      <c r="C327" s="33">
        <f t="shared" si="99"/>
        <v>1</v>
      </c>
      <c r="D327" t="str">
        <f t="shared" si="65"/>
        <v>Kearny Mesa Acura</v>
      </c>
      <c r="E327" t="str">
        <f>IF($J327="","",IFERROR(VLOOKUP($J327,KEY!$D$6:$F$76,3,FALSE),""))</f>
        <v/>
      </c>
      <c r="F327" t="str">
        <f>IF($J327="","",IFERROR(VLOOKUP($J327,KEY!$D$6:$F$76,2,FALSE),""))</f>
        <v/>
      </c>
      <c r="G327" t="str">
        <f t="shared" si="72"/>
        <v>Q3 Shop 1_Kearny Mesa Acura</v>
      </c>
      <c r="H327" s="30">
        <f t="shared" si="90"/>
        <v>4</v>
      </c>
      <c r="I327" s="30">
        <f t="shared" si="91"/>
        <v>3</v>
      </c>
      <c r="J327" s="110" t="s">
        <v>110</v>
      </c>
      <c r="K327" t="s">
        <v>1</v>
      </c>
      <c r="L327" t="s">
        <v>411</v>
      </c>
      <c r="M327" t="s">
        <v>57</v>
      </c>
      <c r="N327" t="s">
        <v>56</v>
      </c>
      <c r="O327" t="s">
        <v>57</v>
      </c>
      <c r="P327" t="s">
        <v>57</v>
      </c>
    </row>
    <row r="328" spans="1:16">
      <c r="A328" s="23" t="str">
        <f t="shared" si="70"/>
        <v>Q3 Shop 1</v>
      </c>
      <c r="B328" s="36" t="str">
        <f t="shared" ref="B328:C328" si="100">B327</f>
        <v>Q3</v>
      </c>
      <c r="C328" s="33">
        <f t="shared" si="100"/>
        <v>1</v>
      </c>
      <c r="D328" t="str">
        <f t="shared" si="65"/>
        <v>Kearny Mesa Toyota</v>
      </c>
      <c r="E328" t="str">
        <f>IF($J328="","",IFERROR(VLOOKUP($J328,KEY!$D$6:$F$76,3,FALSE),""))</f>
        <v>Southern California</v>
      </c>
      <c r="F328" t="str">
        <f>IF($J328="","",IFERROR(VLOOKUP($J328,KEY!$D$6:$F$76,2,FALSE),""))</f>
        <v>Toyota</v>
      </c>
      <c r="G328" t="str">
        <f t="shared" si="72"/>
        <v>Q3 Shop 1_Kearny Mesa Toyota</v>
      </c>
      <c r="H328" s="30">
        <f t="shared" si="90"/>
        <v>4</v>
      </c>
      <c r="I328" s="30">
        <f t="shared" si="91"/>
        <v>4</v>
      </c>
      <c r="J328" s="110" t="s">
        <v>112</v>
      </c>
      <c r="K328" t="s">
        <v>1</v>
      </c>
      <c r="L328" t="s">
        <v>362</v>
      </c>
      <c r="M328" t="s">
        <v>57</v>
      </c>
      <c r="N328" t="s">
        <v>57</v>
      </c>
      <c r="O328" t="s">
        <v>57</v>
      </c>
      <c r="P328" t="s">
        <v>57</v>
      </c>
    </row>
    <row r="329" spans="1:16">
      <c r="A329" s="23" t="str">
        <f t="shared" si="70"/>
        <v>Q3 Shop 1</v>
      </c>
      <c r="B329" s="36" t="str">
        <f t="shared" ref="B329:C329" si="101">B328</f>
        <v>Q3</v>
      </c>
      <c r="C329" s="33">
        <f t="shared" si="101"/>
        <v>1</v>
      </c>
      <c r="D329" t="str">
        <f t="shared" si="65"/>
        <v>Lexus San Diego</v>
      </c>
      <c r="E329" t="str">
        <f>IF($J329="","",IFERROR(VLOOKUP($J329,KEY!$D$6:$F$76,3,FALSE),""))</f>
        <v>Southern California</v>
      </c>
      <c r="F329" t="str">
        <f>IF($J329="","",IFERROR(VLOOKUP($J329,KEY!$D$6:$F$76,2,FALSE),""))</f>
        <v>Lexus</v>
      </c>
      <c r="G329" t="str">
        <f t="shared" si="72"/>
        <v>Q3 Shop 1_Lexus San Diego</v>
      </c>
      <c r="H329" s="30">
        <f t="shared" si="90"/>
        <v>4</v>
      </c>
      <c r="I329" s="30">
        <f t="shared" si="91"/>
        <v>3</v>
      </c>
      <c r="J329" s="110" t="s">
        <v>126</v>
      </c>
      <c r="K329" t="s">
        <v>1</v>
      </c>
      <c r="L329" t="s">
        <v>412</v>
      </c>
      <c r="M329" t="s">
        <v>57</v>
      </c>
      <c r="N329" t="s">
        <v>57</v>
      </c>
      <c r="O329" t="s">
        <v>57</v>
      </c>
      <c r="P329" t="s">
        <v>56</v>
      </c>
    </row>
    <row r="330" spans="1:16">
      <c r="A330" s="23" t="str">
        <f t="shared" si="70"/>
        <v>Q3 Shop 1</v>
      </c>
      <c r="B330" s="36" t="str">
        <f t="shared" ref="B330:C330" si="102">B329</f>
        <v>Q3</v>
      </c>
      <c r="C330" s="33">
        <f t="shared" si="102"/>
        <v>1</v>
      </c>
      <c r="D330" t="str">
        <f t="shared" si="65"/>
        <v>Mazda of Escondido</v>
      </c>
      <c r="E330" t="str">
        <f>IF($J330="","",IFERROR(VLOOKUP($J330,KEY!$D$6:$F$76,3,FALSE),""))</f>
        <v>Southern California</v>
      </c>
      <c r="F330" t="str">
        <f>IF($J330="","",IFERROR(VLOOKUP($J330,KEY!$D$6:$F$76,2,FALSE),""))</f>
        <v>Mazda</v>
      </c>
      <c r="G330" t="str">
        <f t="shared" si="72"/>
        <v>Q3 Shop 1_Mazda of Escondido</v>
      </c>
      <c r="H330" s="30">
        <f t="shared" si="90"/>
        <v>4</v>
      </c>
      <c r="I330" s="30">
        <f t="shared" si="91"/>
        <v>3</v>
      </c>
      <c r="J330" s="110" t="s">
        <v>130</v>
      </c>
      <c r="K330" t="s">
        <v>1</v>
      </c>
      <c r="L330" t="s">
        <v>413</v>
      </c>
      <c r="M330" t="s">
        <v>57</v>
      </c>
      <c r="N330" t="s">
        <v>56</v>
      </c>
      <c r="O330" t="s">
        <v>57</v>
      </c>
      <c r="P330" t="s">
        <v>57</v>
      </c>
    </row>
    <row r="331" spans="1:16">
      <c r="A331" s="23" t="str">
        <f t="shared" si="70"/>
        <v>Q3 Shop 1</v>
      </c>
      <c r="B331" s="36" t="str">
        <f t="shared" ref="B331:C331" si="103">B330</f>
        <v>Q3</v>
      </c>
      <c r="C331" s="33">
        <f t="shared" si="103"/>
        <v>1</v>
      </c>
      <c r="D331" t="str">
        <f t="shared" si="65"/>
        <v>Mercedes-Benz of San Diego</v>
      </c>
      <c r="E331" t="str">
        <f>IF($J331="","",IFERROR(VLOOKUP($J331,KEY!$D$6:$F$76,3,FALSE),""))</f>
        <v>Southern California</v>
      </c>
      <c r="F331" t="str">
        <f>IF($J331="","",IFERROR(VLOOKUP($J331,KEY!$D$6:$F$76,2,FALSE),""))</f>
        <v>Mercedes-Benz</v>
      </c>
      <c r="G331" t="str">
        <f t="shared" si="72"/>
        <v>Q3 Shop 1_Mercedes-Benz of San Diego</v>
      </c>
      <c r="H331" s="30">
        <f t="shared" si="90"/>
        <v>4</v>
      </c>
      <c r="I331" s="30">
        <f t="shared" si="91"/>
        <v>4</v>
      </c>
      <c r="J331" s="110" t="s">
        <v>136</v>
      </c>
      <c r="K331" t="s">
        <v>1</v>
      </c>
      <c r="L331" t="s">
        <v>414</v>
      </c>
      <c r="M331" t="s">
        <v>57</v>
      </c>
      <c r="N331" t="s">
        <v>57</v>
      </c>
      <c r="O331" t="s">
        <v>57</v>
      </c>
      <c r="P331" t="s">
        <v>57</v>
      </c>
    </row>
    <row r="332" spans="1:16">
      <c r="A332" s="23" t="str">
        <f t="shared" si="70"/>
        <v>Q3 Shop 1</v>
      </c>
      <c r="B332" s="36" t="str">
        <f t="shared" ref="B332:C332" si="104">B331</f>
        <v>Q3</v>
      </c>
      <c r="C332" s="33">
        <f t="shared" si="104"/>
        <v>1</v>
      </c>
      <c r="D332" t="str">
        <f t="shared" si="65"/>
        <v>MINI of San Diego</v>
      </c>
      <c r="E332" t="str">
        <f>IF($J332="","",IFERROR(VLOOKUP($J332,KEY!$D$6:$F$76,3,FALSE),""))</f>
        <v>Southern California</v>
      </c>
      <c r="F332" t="str">
        <f>IF($J332="","",IFERROR(VLOOKUP($J332,KEY!$D$6:$F$76,2,FALSE),""))</f>
        <v>MINI</v>
      </c>
      <c r="G332" t="str">
        <f t="shared" si="72"/>
        <v>Q3 Shop 1_MINI of San Diego</v>
      </c>
      <c r="H332" s="30">
        <f t="shared" si="90"/>
        <v>4</v>
      </c>
      <c r="I332" s="30">
        <f t="shared" si="91"/>
        <v>4</v>
      </c>
      <c r="J332" s="110" t="s">
        <v>146</v>
      </c>
      <c r="K332" t="s">
        <v>1</v>
      </c>
      <c r="L332" t="s">
        <v>366</v>
      </c>
      <c r="M332" t="s">
        <v>57</v>
      </c>
      <c r="N332" t="s">
        <v>57</v>
      </c>
      <c r="O332" t="s">
        <v>57</v>
      </c>
      <c r="P332" t="s">
        <v>57</v>
      </c>
    </row>
    <row r="333" spans="1:16">
      <c r="A333" s="23" t="str">
        <f t="shared" si="70"/>
        <v>Q3 Shop 1</v>
      </c>
      <c r="B333" s="36" t="str">
        <f t="shared" ref="B333:C333" si="105">B332</f>
        <v>Q3</v>
      </c>
      <c r="C333" s="33">
        <f t="shared" si="105"/>
        <v>1</v>
      </c>
      <c r="D333" t="str">
        <f t="shared" si="65"/>
        <v>BMW of Austin</v>
      </c>
      <c r="E333" t="str">
        <f>IF($J333="","",IFERROR(VLOOKUP($J333,KEY!$D$6:$F$76,3,FALSE),""))</f>
        <v>Texas</v>
      </c>
      <c r="F333" t="str">
        <f>IF($J333="","",IFERROR(VLOOKUP($J333,KEY!$D$6:$F$76,2,FALSE),""))</f>
        <v>BMW</v>
      </c>
      <c r="G333" t="str">
        <f t="shared" si="72"/>
        <v>Q3 Shop 1_BMW of Austin</v>
      </c>
      <c r="H333" s="30">
        <f t="shared" si="90"/>
        <v>4</v>
      </c>
      <c r="I333" s="30">
        <f t="shared" si="91"/>
        <v>3</v>
      </c>
      <c r="J333" s="110" t="s">
        <v>76</v>
      </c>
      <c r="K333" t="s">
        <v>1</v>
      </c>
      <c r="L333" t="s">
        <v>415</v>
      </c>
      <c r="M333" t="s">
        <v>57</v>
      </c>
      <c r="N333" t="s">
        <v>56</v>
      </c>
      <c r="O333" t="s">
        <v>57</v>
      </c>
      <c r="P333" t="s">
        <v>57</v>
      </c>
    </row>
    <row r="334" spans="1:16">
      <c r="A334" s="23" t="str">
        <f t="shared" si="70"/>
        <v>Q3 Shop 1</v>
      </c>
      <c r="B334" s="36" t="str">
        <f t="shared" ref="B334:C334" si="106">B333</f>
        <v>Q3</v>
      </c>
      <c r="C334" s="33">
        <f t="shared" si="106"/>
        <v>1</v>
      </c>
      <c r="D334" t="str">
        <f t="shared" si="65"/>
        <v>Genesis of Round Rock</v>
      </c>
      <c r="E334" t="str">
        <f>IF($J334="","",IFERROR(VLOOKUP($J334,KEY!$D$6:$F$76,3,FALSE),""))</f>
        <v>Texas</v>
      </c>
      <c r="F334" t="str">
        <f>IF($J334="","",IFERROR(VLOOKUP($J334,KEY!$D$6:$F$76,2,FALSE),""))</f>
        <v>Genesis</v>
      </c>
      <c r="G334" t="str">
        <f t="shared" si="72"/>
        <v>Q3 Shop 1_Genesis of Round Rock</v>
      </c>
      <c r="H334" s="30">
        <f t="shared" si="90"/>
        <v>4</v>
      </c>
      <c r="I334" s="30">
        <f t="shared" si="91"/>
        <v>2</v>
      </c>
      <c r="J334" s="110" t="s">
        <v>98</v>
      </c>
      <c r="K334" t="s">
        <v>1</v>
      </c>
      <c r="L334" t="s">
        <v>368</v>
      </c>
      <c r="M334" t="s">
        <v>56</v>
      </c>
      <c r="N334" t="s">
        <v>57</v>
      </c>
      <c r="O334" t="s">
        <v>57</v>
      </c>
      <c r="P334" t="s">
        <v>56</v>
      </c>
    </row>
    <row r="335" spans="1:16">
      <c r="A335" s="23" t="str">
        <f t="shared" si="70"/>
        <v>Q3 Shop 1</v>
      </c>
      <c r="B335" s="36" t="str">
        <f t="shared" ref="B335:C335" si="107">B334</f>
        <v>Q3</v>
      </c>
      <c r="C335" s="33">
        <f t="shared" si="107"/>
        <v>1</v>
      </c>
      <c r="D335" t="str">
        <f t="shared" si="65"/>
        <v>Honda Leander</v>
      </c>
      <c r="E335" t="str">
        <f>IF($J335="","",IFERROR(VLOOKUP($J335,KEY!$D$6:$F$76,3,FALSE),""))</f>
        <v>Texas</v>
      </c>
      <c r="F335" t="str">
        <f>IF($J335="","",IFERROR(VLOOKUP($J335,KEY!$D$6:$F$76,2,FALSE),""))</f>
        <v>Honda</v>
      </c>
      <c r="G335" t="str">
        <f t="shared" si="72"/>
        <v>Q3 Shop 1_Honda Leander</v>
      </c>
      <c r="H335" s="30">
        <f t="shared" si="90"/>
        <v>4</v>
      </c>
      <c r="I335" s="30">
        <f t="shared" si="91"/>
        <v>4</v>
      </c>
      <c r="J335" s="110" t="s">
        <v>100</v>
      </c>
      <c r="K335" t="s">
        <v>1</v>
      </c>
      <c r="L335" t="s">
        <v>416</v>
      </c>
      <c r="M335" t="s">
        <v>57</v>
      </c>
      <c r="N335" t="s">
        <v>57</v>
      </c>
      <c r="O335" t="s">
        <v>57</v>
      </c>
      <c r="P335" t="s">
        <v>57</v>
      </c>
    </row>
    <row r="336" spans="1:16">
      <c r="A336" s="23" t="str">
        <f t="shared" si="70"/>
        <v>Q3 Shop 1</v>
      </c>
      <c r="B336" s="36" t="str">
        <f t="shared" ref="B336:C336" si="108">B335</f>
        <v>Q3</v>
      </c>
      <c r="C336" s="33">
        <f t="shared" si="108"/>
        <v>1</v>
      </c>
      <c r="D336" t="str">
        <f t="shared" si="65"/>
        <v>Hyundai of Leander</v>
      </c>
      <c r="E336" t="str">
        <f>IF($J336="","",IFERROR(VLOOKUP($J336,KEY!$D$6:$F$76,3,FALSE),""))</f>
        <v>Texas</v>
      </c>
      <c r="F336" t="str">
        <f>IF($J336="","",IFERROR(VLOOKUP($J336,KEY!$D$6:$F$76,2,FALSE),""))</f>
        <v>Hyundai</v>
      </c>
      <c r="G336" t="str">
        <f t="shared" si="72"/>
        <v>Q3 Shop 1_Hyundai of Leander</v>
      </c>
      <c r="H336" s="30">
        <f t="shared" si="90"/>
        <v>4</v>
      </c>
      <c r="I336" s="30">
        <f t="shared" si="91"/>
        <v>2</v>
      </c>
      <c r="J336" s="110" t="s">
        <v>417</v>
      </c>
      <c r="K336" t="s">
        <v>1</v>
      </c>
      <c r="L336" t="s">
        <v>418</v>
      </c>
      <c r="M336" t="s">
        <v>56</v>
      </c>
      <c r="N336" t="s">
        <v>56</v>
      </c>
      <c r="O336" t="s">
        <v>57</v>
      </c>
      <c r="P336" t="s">
        <v>57</v>
      </c>
    </row>
    <row r="337" spans="1:16">
      <c r="A337" s="23" t="str">
        <f t="shared" si="70"/>
        <v>Q3 Shop 1</v>
      </c>
      <c r="B337" s="36" t="str">
        <f t="shared" ref="B337:C337" si="109">B336</f>
        <v>Q3</v>
      </c>
      <c r="C337" s="33">
        <f t="shared" si="109"/>
        <v>1</v>
      </c>
      <c r="D337" t="str">
        <f t="shared" si="65"/>
        <v>Hyundai of Pharr</v>
      </c>
      <c r="E337" t="str">
        <f>IF($J337="","",IFERROR(VLOOKUP($J337,KEY!$D$6:$F$76,3,FALSE),""))</f>
        <v>Texas</v>
      </c>
      <c r="F337" t="str">
        <f>IF($J337="","",IFERROR(VLOOKUP($J337,KEY!$D$6:$F$76,2,FALSE),""))</f>
        <v>Hyundai</v>
      </c>
      <c r="G337" t="str">
        <f t="shared" si="72"/>
        <v>Q3 Shop 1_Hyundai of Pharr</v>
      </c>
      <c r="H337" s="30">
        <f t="shared" si="90"/>
        <v>4</v>
      </c>
      <c r="I337" s="30">
        <f t="shared" si="91"/>
        <v>3</v>
      </c>
      <c r="J337" s="110" t="s">
        <v>108</v>
      </c>
      <c r="K337" t="s">
        <v>1</v>
      </c>
      <c r="L337" t="s">
        <v>419</v>
      </c>
      <c r="M337" t="s">
        <v>57</v>
      </c>
      <c r="N337" t="s">
        <v>56</v>
      </c>
      <c r="O337" t="s">
        <v>57</v>
      </c>
      <c r="P337" t="s">
        <v>57</v>
      </c>
    </row>
    <row r="338" spans="1:16">
      <c r="A338" s="23" t="str">
        <f t="shared" si="70"/>
        <v>Q3 Shop 1</v>
      </c>
      <c r="B338" s="36" t="str">
        <f t="shared" ref="B338:C338" si="110">B337</f>
        <v>Q3</v>
      </c>
      <c r="C338" s="33">
        <f t="shared" si="110"/>
        <v>1</v>
      </c>
      <c r="D338" t="str">
        <f t="shared" si="65"/>
        <v>Lexus of Austin</v>
      </c>
      <c r="E338" t="str">
        <f>IF($J338="","",IFERROR(VLOOKUP($J338,KEY!$D$6:$F$76,3,FALSE),""))</f>
        <v>Texas</v>
      </c>
      <c r="F338" t="str">
        <f>IF($J338="","",IFERROR(VLOOKUP($J338,KEY!$D$6:$F$76,2,FALSE),""))</f>
        <v>Lexus</v>
      </c>
      <c r="G338" t="str">
        <f t="shared" si="72"/>
        <v>Q3 Shop 1_Lexus of Austin</v>
      </c>
      <c r="H338" s="30">
        <f t="shared" si="90"/>
        <v>4</v>
      </c>
      <c r="I338" s="30">
        <f t="shared" si="91"/>
        <v>4</v>
      </c>
      <c r="J338" s="110" t="s">
        <v>120</v>
      </c>
      <c r="K338" t="s">
        <v>1</v>
      </c>
      <c r="L338" t="s">
        <v>420</v>
      </c>
      <c r="M338" t="s">
        <v>57</v>
      </c>
      <c r="N338" t="s">
        <v>57</v>
      </c>
      <c r="O338" t="s">
        <v>57</v>
      </c>
      <c r="P338" t="s">
        <v>57</v>
      </c>
    </row>
    <row r="339" spans="1:16">
      <c r="A339" s="23" t="str">
        <f t="shared" si="70"/>
        <v>Q3 Shop 1</v>
      </c>
      <c r="B339" s="36" t="str">
        <f t="shared" ref="B339:C339" si="111">B338</f>
        <v>Q3</v>
      </c>
      <c r="C339" s="33">
        <f t="shared" si="111"/>
        <v>1</v>
      </c>
      <c r="D339" t="str">
        <f t="shared" si="65"/>
        <v>Lexus of Lakeway</v>
      </c>
      <c r="E339" t="str">
        <f>IF($J339="","",IFERROR(VLOOKUP($J339,KEY!$D$6:$F$76,3,FALSE),""))</f>
        <v>Texas</v>
      </c>
      <c r="F339" t="str">
        <f>IF($J339="","",IFERROR(VLOOKUP($J339,KEY!$D$6:$F$76,2,FALSE),""))</f>
        <v>Lexus</v>
      </c>
      <c r="G339" t="str">
        <f t="shared" si="72"/>
        <v>Q3 Shop 1_Lexus of Lakeway</v>
      </c>
      <c r="H339" s="30">
        <f t="shared" si="90"/>
        <v>4</v>
      </c>
      <c r="I339" s="30">
        <f t="shared" si="91"/>
        <v>4</v>
      </c>
      <c r="J339" s="110" t="s">
        <v>124</v>
      </c>
      <c r="K339" t="s">
        <v>1</v>
      </c>
      <c r="L339" t="s">
        <v>372</v>
      </c>
      <c r="M339" t="s">
        <v>57</v>
      </c>
      <c r="N339" t="s">
        <v>57</v>
      </c>
      <c r="O339" t="s">
        <v>57</v>
      </c>
      <c r="P339" t="s">
        <v>57</v>
      </c>
    </row>
    <row r="340" spans="1:16">
      <c r="A340" s="23" t="str">
        <f t="shared" si="70"/>
        <v>Q3 Shop 1</v>
      </c>
      <c r="B340" s="36" t="str">
        <f t="shared" ref="B340:C340" si="112">B339</f>
        <v>Q3</v>
      </c>
      <c r="C340" s="33">
        <f t="shared" si="112"/>
        <v>1</v>
      </c>
      <c r="D340" t="str">
        <f t="shared" si="65"/>
        <v>MINI of Austin</v>
      </c>
      <c r="E340" t="str">
        <f>IF($J340="","",IFERROR(VLOOKUP($J340,KEY!$D$6:$F$76,3,FALSE),""))</f>
        <v>Texas</v>
      </c>
      <c r="F340" t="str">
        <f>IF($J340="","",IFERROR(VLOOKUP($J340,KEY!$D$6:$F$76,2,FALSE),""))</f>
        <v>MINI</v>
      </c>
      <c r="G340" t="str">
        <f t="shared" si="72"/>
        <v>Q3 Shop 1_MINI of Austin</v>
      </c>
      <c r="H340" s="30">
        <f t="shared" si="90"/>
        <v>4</v>
      </c>
      <c r="I340" s="30">
        <f t="shared" si="91"/>
        <v>4</v>
      </c>
      <c r="J340" s="110" t="s">
        <v>140</v>
      </c>
      <c r="K340" t="s">
        <v>1</v>
      </c>
      <c r="L340" t="s">
        <v>421</v>
      </c>
      <c r="M340" t="s">
        <v>57</v>
      </c>
      <c r="N340" t="s">
        <v>57</v>
      </c>
      <c r="O340" t="s">
        <v>57</v>
      </c>
      <c r="P340" t="s">
        <v>57</v>
      </c>
    </row>
    <row r="341" spans="1:16">
      <c r="A341" s="23" t="str">
        <f t="shared" si="70"/>
        <v>Q3 Shop 1</v>
      </c>
      <c r="B341" s="36" t="str">
        <f t="shared" ref="B341:C341" si="113">B340</f>
        <v>Q3</v>
      </c>
      <c r="C341" s="33">
        <f t="shared" si="113"/>
        <v>1</v>
      </c>
      <c r="D341" t="str">
        <f t="shared" si="65"/>
        <v>Round Rock Honda</v>
      </c>
      <c r="E341" t="str">
        <f>IF($J341="","",IFERROR(VLOOKUP($J341,KEY!$D$6:$F$76,3,FALSE),""))</f>
        <v>Texas</v>
      </c>
      <c r="F341" t="str">
        <f>IF($J341="","",IFERROR(VLOOKUP($J341,KEY!$D$6:$F$76,2,FALSE),""))</f>
        <v>Honda</v>
      </c>
      <c r="G341" t="str">
        <f t="shared" si="72"/>
        <v>Q3 Shop 1_Round Rock Honda</v>
      </c>
      <c r="H341" s="30">
        <f t="shared" si="90"/>
        <v>4</v>
      </c>
      <c r="I341" s="30">
        <f t="shared" si="91"/>
        <v>3</v>
      </c>
      <c r="J341" s="110" t="s">
        <v>164</v>
      </c>
      <c r="K341" t="s">
        <v>1</v>
      </c>
      <c r="L341" t="s">
        <v>422</v>
      </c>
      <c r="M341" t="s">
        <v>57</v>
      </c>
      <c r="N341" t="s">
        <v>56</v>
      </c>
      <c r="O341" t="s">
        <v>57</v>
      </c>
      <c r="P341" t="s">
        <v>57</v>
      </c>
    </row>
    <row r="342" spans="1:16">
      <c r="A342" s="23" t="str">
        <f t="shared" si="70"/>
        <v>Q3 Shop 1</v>
      </c>
      <c r="B342" s="36" t="str">
        <f t="shared" ref="B342:C342" si="114">B341</f>
        <v>Q3</v>
      </c>
      <c r="C342" s="33">
        <f t="shared" si="114"/>
        <v>1</v>
      </c>
      <c r="D342" t="str">
        <f t="shared" si="65"/>
        <v>Round Rock Hyundai</v>
      </c>
      <c r="E342" t="str">
        <f>IF($J342="","",IFERROR(VLOOKUP($J342,KEY!$D$6:$F$76,3,FALSE),""))</f>
        <v>Texas</v>
      </c>
      <c r="F342" t="str">
        <f>IF($J342="","",IFERROR(VLOOKUP($J342,KEY!$D$6:$F$76,2,FALSE),""))</f>
        <v>Hyundai</v>
      </c>
      <c r="G342" t="str">
        <f t="shared" si="72"/>
        <v>Q3 Shop 1_Round Rock Hyundai</v>
      </c>
      <c r="H342" s="30">
        <f t="shared" si="90"/>
        <v>4</v>
      </c>
      <c r="I342" s="30">
        <f t="shared" si="91"/>
        <v>3</v>
      </c>
      <c r="J342" s="110" t="s">
        <v>166</v>
      </c>
      <c r="K342" t="s">
        <v>1</v>
      </c>
      <c r="L342" t="s">
        <v>375</v>
      </c>
      <c r="M342" t="s">
        <v>56</v>
      </c>
      <c r="N342" t="s">
        <v>57</v>
      </c>
      <c r="O342" t="s">
        <v>57</v>
      </c>
      <c r="P342" t="s">
        <v>57</v>
      </c>
    </row>
    <row r="343" spans="1:16">
      <c r="A343" s="23" t="str">
        <f t="shared" si="70"/>
        <v>Q3 Shop 1</v>
      </c>
      <c r="B343" s="36" t="str">
        <f t="shared" ref="B343:C343" si="115">B342</f>
        <v>Q3</v>
      </c>
      <c r="C343" s="33">
        <f t="shared" si="115"/>
        <v>1</v>
      </c>
      <c r="D343" t="str">
        <f t="shared" si="65"/>
        <v>Round Rock Toyota</v>
      </c>
      <c r="E343" t="str">
        <f>IF($J343="","",IFERROR(VLOOKUP($J343,KEY!$D$6:$F$76,3,FALSE),""))</f>
        <v>Texas</v>
      </c>
      <c r="F343" t="str">
        <f>IF($J343="","",IFERROR(VLOOKUP($J343,KEY!$D$6:$F$76,2,FALSE),""))</f>
        <v>Toyota</v>
      </c>
      <c r="G343" t="str">
        <f t="shared" si="72"/>
        <v>Q3 Shop 1_Round Rock Toyota</v>
      </c>
      <c r="H343" s="30">
        <f t="shared" si="90"/>
        <v>4</v>
      </c>
      <c r="I343" s="30">
        <f t="shared" si="91"/>
        <v>3</v>
      </c>
      <c r="J343" s="110" t="s">
        <v>168</v>
      </c>
      <c r="K343" t="s">
        <v>1</v>
      </c>
      <c r="L343" t="s">
        <v>376</v>
      </c>
      <c r="M343" t="s">
        <v>57</v>
      </c>
      <c r="N343" t="s">
        <v>56</v>
      </c>
      <c r="O343" t="s">
        <v>57</v>
      </c>
      <c r="P343" t="s">
        <v>57</v>
      </c>
    </row>
    <row r="344" spans="1:16">
      <c r="A344" s="23" t="str">
        <f t="shared" si="70"/>
        <v>Q3 Shop 1</v>
      </c>
      <c r="B344" s="36" t="str">
        <f t="shared" ref="B344:C344" si="116">B343</f>
        <v>Q3</v>
      </c>
      <c r="C344" s="33">
        <f t="shared" si="116"/>
        <v>1</v>
      </c>
      <c r="D344" t="str">
        <f t="shared" si="65"/>
        <v>BMW of Bloomfield Hills</v>
      </c>
      <c r="E344" t="str">
        <f>IF($J344="","",IFERROR(VLOOKUP($J344,KEY!$D$6:$F$76,3,FALSE),""))</f>
        <v>Michigan &amp; Minnesota</v>
      </c>
      <c r="F344" t="str">
        <f>IF($J344="","",IFERROR(VLOOKUP($J344,KEY!$D$6:$F$76,2,FALSE),""))</f>
        <v>BMW</v>
      </c>
      <c r="G344" t="str">
        <f t="shared" si="72"/>
        <v>Q3 Shop 1_BMW of Bloomfield Hills</v>
      </c>
      <c r="H344" s="30">
        <f t="shared" si="90"/>
        <v>4</v>
      </c>
      <c r="I344" s="30">
        <f t="shared" si="91"/>
        <v>1</v>
      </c>
      <c r="J344" s="110" t="s">
        <v>78</v>
      </c>
      <c r="K344" t="s">
        <v>1</v>
      </c>
      <c r="L344" t="s">
        <v>423</v>
      </c>
      <c r="M344" t="s">
        <v>57</v>
      </c>
      <c r="N344" t="s">
        <v>56</v>
      </c>
      <c r="O344" t="s">
        <v>56</v>
      </c>
      <c r="P344" t="s">
        <v>56</v>
      </c>
    </row>
    <row r="345" spans="1:16">
      <c r="A345" s="23" t="str">
        <f t="shared" si="70"/>
        <v>Q3 Shop 1</v>
      </c>
      <c r="B345" s="36" t="str">
        <f t="shared" ref="B345:C345" si="117">B344</f>
        <v>Q3</v>
      </c>
      <c r="C345" s="33">
        <f t="shared" si="117"/>
        <v>1</v>
      </c>
      <c r="D345" t="str">
        <f t="shared" si="65"/>
        <v>East Madison Toyota</v>
      </c>
      <c r="E345" t="str">
        <f>IF($J345="","",IFERROR(VLOOKUP($J345,KEY!$D$6:$F$76,3,FALSE),""))</f>
        <v>Wisconsin</v>
      </c>
      <c r="F345" t="str">
        <f>IF($J345="","",IFERROR(VLOOKUP($J345,KEY!$D$6:$F$76,2,FALSE),""))</f>
        <v>Toyota</v>
      </c>
      <c r="G345" t="str">
        <f t="shared" si="72"/>
        <v>Q3 Shop 1_East Madison Toyota</v>
      </c>
      <c r="H345" s="30">
        <f t="shared" si="90"/>
        <v>4</v>
      </c>
      <c r="I345" s="30">
        <f t="shared" si="91"/>
        <v>4</v>
      </c>
      <c r="J345" s="110" t="s">
        <v>94</v>
      </c>
      <c r="K345" t="s">
        <v>1</v>
      </c>
      <c r="L345" t="s">
        <v>424</v>
      </c>
      <c r="M345" t="s">
        <v>57</v>
      </c>
      <c r="N345" t="s">
        <v>57</v>
      </c>
      <c r="O345" t="s">
        <v>57</v>
      </c>
      <c r="P345" t="s">
        <v>57</v>
      </c>
    </row>
    <row r="346" spans="1:16">
      <c r="A346" s="23" t="str">
        <f t="shared" si="70"/>
        <v>Q3 Shop 1</v>
      </c>
      <c r="B346" s="36" t="str">
        <f t="shared" ref="B346:C346" si="118">B345</f>
        <v>Q3</v>
      </c>
      <c r="C346" s="33">
        <f t="shared" si="118"/>
        <v>1</v>
      </c>
      <c r="D346" t="str">
        <f t="shared" si="65"/>
        <v>Genesis of Noblesville</v>
      </c>
      <c r="E346" t="str">
        <f>IF($J346="","",IFERROR(VLOOKUP($J346,KEY!$D$6:$F$76,3,FALSE),""))</f>
        <v/>
      </c>
      <c r="F346" t="str">
        <f>IF($J346="","",IFERROR(VLOOKUP($J346,KEY!$D$6:$F$76,2,FALSE),""))</f>
        <v/>
      </c>
      <c r="G346" t="str">
        <f t="shared" si="72"/>
        <v>Q3 Shop 1_Genesis of Noblesville</v>
      </c>
      <c r="H346" s="30">
        <f t="shared" si="90"/>
        <v>4</v>
      </c>
      <c r="I346" s="30">
        <f t="shared" si="91"/>
        <v>2</v>
      </c>
      <c r="J346" s="110" t="s">
        <v>96</v>
      </c>
      <c r="K346" t="s">
        <v>1</v>
      </c>
      <c r="L346" t="s">
        <v>346</v>
      </c>
      <c r="M346" t="s">
        <v>56</v>
      </c>
      <c r="N346" t="s">
        <v>56</v>
      </c>
      <c r="O346" t="s">
        <v>57</v>
      </c>
      <c r="P346" t="s">
        <v>57</v>
      </c>
    </row>
    <row r="347" spans="1:16">
      <c r="A347" s="23" t="str">
        <f t="shared" si="70"/>
        <v>Q3 Shop 1</v>
      </c>
      <c r="B347" s="36" t="str">
        <f t="shared" ref="B347:C347" si="119">B346</f>
        <v>Q3</v>
      </c>
      <c r="C347" s="33">
        <f t="shared" si="119"/>
        <v>1</v>
      </c>
      <c r="D347" t="str">
        <f t="shared" si="65"/>
        <v>Hyundai of Noblesville</v>
      </c>
      <c r="E347" t="str">
        <f>IF($J347="","",IFERROR(VLOOKUP($J347,KEY!$D$6:$F$76,3,FALSE),""))</f>
        <v/>
      </c>
      <c r="F347" t="str">
        <f>IF($J347="","",IFERROR(VLOOKUP($J347,KEY!$D$6:$F$76,2,FALSE),""))</f>
        <v/>
      </c>
      <c r="G347" t="str">
        <f t="shared" si="72"/>
        <v>Q3 Shop 1_Hyundai of Noblesville</v>
      </c>
      <c r="H347" s="30">
        <f t="shared" si="90"/>
        <v>4</v>
      </c>
      <c r="I347" s="30">
        <f t="shared" si="91"/>
        <v>3</v>
      </c>
      <c r="J347" s="110" t="s">
        <v>106</v>
      </c>
      <c r="K347" t="s">
        <v>1</v>
      </c>
      <c r="L347" t="s">
        <v>425</v>
      </c>
      <c r="M347" t="s">
        <v>57</v>
      </c>
      <c r="N347" t="s">
        <v>56</v>
      </c>
      <c r="O347" t="s">
        <v>57</v>
      </c>
      <c r="P347" t="s">
        <v>57</v>
      </c>
    </row>
    <row r="348" spans="1:16">
      <c r="A348" s="23" t="str">
        <f t="shared" si="70"/>
        <v>Q3 Shop 1</v>
      </c>
      <c r="B348" s="36" t="str">
        <f t="shared" ref="B348:C348" si="120">B347</f>
        <v>Q3</v>
      </c>
      <c r="C348" s="33">
        <f t="shared" si="120"/>
        <v>1</v>
      </c>
      <c r="D348" t="str">
        <f t="shared" si="65"/>
        <v>Motorwerks BMW</v>
      </c>
      <c r="E348" t="str">
        <f>IF($J348="","",IFERROR(VLOOKUP($J348,KEY!$D$6:$F$76,3,FALSE),""))</f>
        <v>Michigan &amp; Minnesota</v>
      </c>
      <c r="F348" t="str">
        <f>IF($J348="","",IFERROR(VLOOKUP($J348,KEY!$D$6:$F$76,2,FALSE),""))</f>
        <v>BMW</v>
      </c>
      <c r="G348" t="str">
        <f t="shared" si="72"/>
        <v>Q3 Shop 1_Motorwerks BMW</v>
      </c>
      <c r="H348" s="30">
        <f t="shared" si="90"/>
        <v>4</v>
      </c>
      <c r="I348" s="30">
        <f t="shared" si="91"/>
        <v>2</v>
      </c>
      <c r="J348" s="110" t="s">
        <v>150</v>
      </c>
      <c r="K348" t="s">
        <v>1</v>
      </c>
      <c r="L348" t="s">
        <v>426</v>
      </c>
      <c r="M348" t="s">
        <v>57</v>
      </c>
      <c r="N348" t="s">
        <v>56</v>
      </c>
      <c r="O348" t="s">
        <v>57</v>
      </c>
      <c r="P348" t="s">
        <v>56</v>
      </c>
    </row>
    <row r="349" spans="1:16">
      <c r="A349" s="23" t="str">
        <f t="shared" si="70"/>
        <v>Q3 Shop 1</v>
      </c>
      <c r="B349" s="36" t="str">
        <f t="shared" ref="B349:C349" si="121">B348</f>
        <v>Q3</v>
      </c>
      <c r="C349" s="33">
        <f t="shared" si="121"/>
        <v>1</v>
      </c>
      <c r="D349" t="str">
        <f t="shared" si="65"/>
        <v>Motorwerks MINI</v>
      </c>
      <c r="E349" t="str">
        <f>IF($J349="","",IFERROR(VLOOKUP($J349,KEY!$D$6:$F$76,3,FALSE),""))</f>
        <v>Michigan &amp; Minnesota</v>
      </c>
      <c r="F349" t="str">
        <f>IF($J349="","",IFERROR(VLOOKUP($J349,KEY!$D$6:$F$76,2,FALSE),""))</f>
        <v>MINI</v>
      </c>
      <c r="G349" t="str">
        <f t="shared" si="72"/>
        <v>Q3 Shop 1_Motorwerks MINI</v>
      </c>
      <c r="H349" s="30">
        <f t="shared" si="90"/>
        <v>4</v>
      </c>
      <c r="I349" s="30">
        <f t="shared" si="91"/>
        <v>3</v>
      </c>
      <c r="J349" s="110" t="s">
        <v>152</v>
      </c>
      <c r="K349" t="s">
        <v>1</v>
      </c>
      <c r="L349" t="s">
        <v>341</v>
      </c>
      <c r="M349" t="s">
        <v>57</v>
      </c>
      <c r="N349" t="s">
        <v>57</v>
      </c>
      <c r="O349" t="s">
        <v>57</v>
      </c>
      <c r="P349" t="s">
        <v>56</v>
      </c>
    </row>
    <row r="350" spans="1:16">
      <c r="A350" s="23" t="str">
        <f t="shared" si="70"/>
        <v>Q3 Shop 1</v>
      </c>
      <c r="B350" s="36" t="str">
        <f t="shared" ref="B350:C350" si="122">B349</f>
        <v>Q3</v>
      </c>
      <c r="C350" s="33">
        <f t="shared" si="122"/>
        <v>1</v>
      </c>
      <c r="D350" t="str">
        <f t="shared" si="65"/>
        <v>Penske Honda</v>
      </c>
      <c r="E350" t="str">
        <f>IF($J350="","",IFERROR(VLOOKUP($J350,KEY!$D$6:$F$76,3,FALSE),""))</f>
        <v>Indiana</v>
      </c>
      <c r="F350" t="str">
        <f>IF($J350="","",IFERROR(VLOOKUP($J350,KEY!$D$6:$F$76,2,FALSE),""))</f>
        <v>Honda</v>
      </c>
      <c r="G350" t="str">
        <f t="shared" si="72"/>
        <v>Q3 Shop 1_Penske Honda</v>
      </c>
      <c r="H350" s="30">
        <f t="shared" si="90"/>
        <v>4</v>
      </c>
      <c r="I350" s="30">
        <f t="shared" si="91"/>
        <v>2</v>
      </c>
      <c r="J350" s="110" t="s">
        <v>156</v>
      </c>
      <c r="K350" t="s">
        <v>1</v>
      </c>
      <c r="L350" t="s">
        <v>427</v>
      </c>
      <c r="M350" t="s">
        <v>57</v>
      </c>
      <c r="N350" t="s">
        <v>56</v>
      </c>
      <c r="O350" t="s">
        <v>57</v>
      </c>
      <c r="P350" t="s">
        <v>56</v>
      </c>
    </row>
    <row r="351" spans="1:16">
      <c r="A351" s="23" t="str">
        <f t="shared" si="70"/>
        <v>Q3 Shop 1</v>
      </c>
      <c r="B351" s="36" t="str">
        <f t="shared" ref="B351:C351" si="123">B350</f>
        <v>Q3</v>
      </c>
      <c r="C351" s="33">
        <f t="shared" si="123"/>
        <v>1</v>
      </c>
      <c r="D351" t="str">
        <f t="shared" si="65"/>
        <v>Penske Chevrolet</v>
      </c>
      <c r="E351" t="str">
        <f>IF($J351="","",IFERROR(VLOOKUP($J351,KEY!$D$6:$F$76,3,FALSE),""))</f>
        <v>Indiana</v>
      </c>
      <c r="F351" t="str">
        <f>IF($J351="","",IFERROR(VLOOKUP($J351,KEY!$D$6:$F$76,2,FALSE),""))</f>
        <v>Chevrolet</v>
      </c>
      <c r="G351" t="str">
        <f t="shared" si="72"/>
        <v>Q3 Shop 1_Penske Chevrolet</v>
      </c>
      <c r="H351" s="30">
        <f t="shared" ref="H351:H356" si="124">IF($J351="","",COUNTIF($M351:$V351,"*"))</f>
        <v>4</v>
      </c>
      <c r="I351" s="30">
        <f t="shared" ref="I351:I356" si="125">IF($J351="","",COUNTIF($M351:$V351,"YES*"))</f>
        <v>3</v>
      </c>
      <c r="J351" s="110" t="s">
        <v>154</v>
      </c>
      <c r="K351" t="s">
        <v>1</v>
      </c>
      <c r="L351" t="s">
        <v>428</v>
      </c>
      <c r="M351" t="s">
        <v>57</v>
      </c>
      <c r="N351" t="s">
        <v>56</v>
      </c>
      <c r="O351" t="s">
        <v>57</v>
      </c>
      <c r="P351" t="s">
        <v>57</v>
      </c>
    </row>
    <row r="352" spans="1:16">
      <c r="A352" s="23" t="str">
        <f t="shared" si="70"/>
        <v>Q3 Shop 1</v>
      </c>
      <c r="B352" s="36" t="str">
        <f t="shared" ref="B352:C352" si="126">B351</f>
        <v>Q3</v>
      </c>
      <c r="C352" s="33">
        <f t="shared" si="126"/>
        <v>1</v>
      </c>
      <c r="D352" t="str">
        <f t="shared" si="65"/>
        <v/>
      </c>
      <c r="E352" t="str">
        <f>IF($J352="","",IFERROR(VLOOKUP($J352,KEY!$D$6:$F$76,3,FALSE),""))</f>
        <v/>
      </c>
      <c r="F352" t="str">
        <f>IF($J352="","",IFERROR(VLOOKUP($J352,KEY!$D$6:$F$76,2,FALSE),""))</f>
        <v/>
      </c>
      <c r="G352" t="str">
        <f t="shared" si="72"/>
        <v/>
      </c>
      <c r="H352" s="30" t="str">
        <f t="shared" si="124"/>
        <v/>
      </c>
      <c r="I352" s="30" t="str">
        <f t="shared" si="125"/>
        <v/>
      </c>
      <c r="J352" s="110"/>
    </row>
    <row r="353" spans="1:22">
      <c r="A353" s="23" t="str">
        <f t="shared" si="70"/>
        <v>Q3 Shop 1</v>
      </c>
      <c r="B353" s="36" t="str">
        <f t="shared" ref="B353:C353" si="127">B352</f>
        <v>Q3</v>
      </c>
      <c r="C353" s="33">
        <f t="shared" si="127"/>
        <v>1</v>
      </c>
      <c r="D353" t="str">
        <f t="shared" si="65"/>
        <v/>
      </c>
      <c r="E353" t="str">
        <f>IF($J353="","",IFERROR(VLOOKUP($J353,KEY!$D$6:$F$76,3,FALSE),""))</f>
        <v/>
      </c>
      <c r="F353" t="str">
        <f>IF($J353="","",IFERROR(VLOOKUP($J353,KEY!$D$6:$F$76,2,FALSE),""))</f>
        <v/>
      </c>
      <c r="G353" t="str">
        <f t="shared" si="72"/>
        <v/>
      </c>
      <c r="H353" s="30" t="str">
        <f t="shared" si="124"/>
        <v/>
      </c>
      <c r="I353" s="30" t="str">
        <f t="shared" si="125"/>
        <v/>
      </c>
      <c r="J353" s="110"/>
    </row>
    <row r="354" spans="1:22">
      <c r="A354" s="23" t="str">
        <f t="shared" si="70"/>
        <v>Q3 Shop 1</v>
      </c>
      <c r="B354" s="36" t="str">
        <f t="shared" ref="B354:C354" si="128">B353</f>
        <v>Q3</v>
      </c>
      <c r="C354" s="33">
        <f t="shared" si="128"/>
        <v>1</v>
      </c>
      <c r="D354" t="str">
        <f t="shared" si="65"/>
        <v/>
      </c>
      <c r="E354" t="str">
        <f>IF($J354="","",IFERROR(VLOOKUP($J354,KEY!$D$6:$F$76,3,FALSE),""))</f>
        <v/>
      </c>
      <c r="F354" t="str">
        <f>IF($J354="","",IFERROR(VLOOKUP($J354,KEY!$D$6:$F$76,2,FALSE),""))</f>
        <v/>
      </c>
      <c r="G354" t="str">
        <f t="shared" si="72"/>
        <v/>
      </c>
      <c r="H354" s="30" t="str">
        <f t="shared" si="124"/>
        <v/>
      </c>
      <c r="I354" s="30" t="str">
        <f t="shared" si="125"/>
        <v/>
      </c>
      <c r="J354" s="110"/>
    </row>
    <row r="355" spans="1:22">
      <c r="A355" s="23" t="str">
        <f t="shared" si="70"/>
        <v>Q3 Shop 1</v>
      </c>
      <c r="B355" s="36" t="str">
        <f t="shared" ref="B355:C355" si="129">B354</f>
        <v>Q3</v>
      </c>
      <c r="C355" s="33">
        <f t="shared" si="129"/>
        <v>1</v>
      </c>
      <c r="D355" t="str">
        <f t="shared" si="65"/>
        <v/>
      </c>
      <c r="E355" t="str">
        <f>IF($J355="","",IFERROR(VLOOKUP($J355,KEY!$D$6:$F$76,3,FALSE),""))</f>
        <v/>
      </c>
      <c r="F355" t="str">
        <f>IF($J355="","",IFERROR(VLOOKUP($J355,KEY!$D$6:$F$76,2,FALSE),""))</f>
        <v/>
      </c>
      <c r="G355" t="str">
        <f t="shared" si="72"/>
        <v/>
      </c>
      <c r="H355" s="30" t="str">
        <f t="shared" si="124"/>
        <v/>
      </c>
      <c r="I355" s="30" t="str">
        <f t="shared" si="125"/>
        <v/>
      </c>
      <c r="J355" s="110"/>
    </row>
    <row r="356" spans="1:22">
      <c r="A356" s="23" t="str">
        <f t="shared" si="70"/>
        <v>Q3 Shop 1</v>
      </c>
      <c r="B356" s="36" t="str">
        <f t="shared" ref="B356:C356" si="130">B355</f>
        <v>Q3</v>
      </c>
      <c r="C356" s="33">
        <f t="shared" si="130"/>
        <v>1</v>
      </c>
      <c r="D356" t="str">
        <f t="shared" si="65"/>
        <v/>
      </c>
      <c r="E356" t="str">
        <f>IF($J356="","",IFERROR(VLOOKUP($J356,KEY!$D$6:$F$76,3,FALSE),""))</f>
        <v/>
      </c>
      <c r="F356" t="str">
        <f>IF($J356="","",IFERROR(VLOOKUP($J356,KEY!$D$6:$F$76,2,FALSE),""))</f>
        <v/>
      </c>
      <c r="G356" t="str">
        <f t="shared" si="72"/>
        <v/>
      </c>
      <c r="H356" s="30" t="str">
        <f t="shared" si="124"/>
        <v/>
      </c>
      <c r="I356" s="30" t="str">
        <f t="shared" si="125"/>
        <v/>
      </c>
      <c r="J356" s="110"/>
    </row>
    <row r="357" spans="1:22" ht="9" customHeight="1">
      <c r="A357" s="32"/>
      <c r="B357" s="37"/>
      <c r="C357" s="38"/>
      <c r="D357" s="32"/>
      <c r="E357" s="32"/>
      <c r="F357" s="32"/>
      <c r="G357" s="32" t="str">
        <f>A357&amp;"_"&amp;D357</f>
        <v>_</v>
      </c>
      <c r="H357" s="32"/>
      <c r="I357" s="32"/>
      <c r="J357" s="111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</row>
    <row r="358" spans="1:22">
      <c r="A358" s="23" t="str">
        <f t="shared" ref="A358:A427" si="131">B358&amp;" Shop "&amp;C358</f>
        <v>Q3 Shop 2</v>
      </c>
      <c r="B358" s="36" t="s">
        <v>377</v>
      </c>
      <c r="C358" s="33">
        <v>2</v>
      </c>
      <c r="D358" t="str">
        <f t="shared" ref="D358:D427" si="132">IF($J358="","",$J358)</f>
        <v>Acura North Scottsdale</v>
      </c>
      <c r="E358" t="str">
        <f>IF($J358="","",IFERROR(VLOOKUP($J358,KEY!$D$6:$F$76,3,FALSE),""))</f>
        <v>Arizona</v>
      </c>
      <c r="F358" t="str">
        <f>IF($J358="","",IFERROR(VLOOKUP($J358,KEY!$D$6:$F$76,2,FALSE),""))</f>
        <v>Acura</v>
      </c>
      <c r="G358" t="str">
        <f t="shared" ref="G358:G427" si="133">IF($J358="","",A358&amp;"_"&amp;D358)</f>
        <v>Q3 Shop 2_Acura North Scottsdale</v>
      </c>
      <c r="H358" s="30">
        <f t="shared" ref="H358:H389" si="134">IF($J358="","",COUNTIF($M358:$V358,"*"))</f>
        <v>4</v>
      </c>
      <c r="I358" s="30">
        <f t="shared" ref="I358:I389" si="135">IF($J358="","",COUNTIF($M358:$V358,"YES*"))</f>
        <v>4</v>
      </c>
      <c r="J358" s="110" t="s">
        <v>35</v>
      </c>
      <c r="L358" t="s">
        <v>313</v>
      </c>
      <c r="M358" t="s">
        <v>57</v>
      </c>
      <c r="N358" t="s">
        <v>57</v>
      </c>
      <c r="O358" t="s">
        <v>57</v>
      </c>
      <c r="P358" t="s">
        <v>57</v>
      </c>
    </row>
    <row r="359" spans="1:22">
      <c r="A359" s="23" t="str">
        <f t="shared" si="131"/>
        <v>Q3 Shop 2</v>
      </c>
      <c r="B359" s="36" t="str">
        <f t="shared" ref="B359:C374" si="136">B358</f>
        <v>Q3</v>
      </c>
      <c r="C359" s="33">
        <f t="shared" si="136"/>
        <v>2</v>
      </c>
      <c r="D359" t="str">
        <f t="shared" si="132"/>
        <v>Audi Chandler</v>
      </c>
      <c r="E359" t="str">
        <f>IF($J359="","",IFERROR(VLOOKUP($J359,KEY!$D$6:$F$76,3,FALSE),""))</f>
        <v>Arizona</v>
      </c>
      <c r="F359" t="str">
        <f>IF($J359="","",IFERROR(VLOOKUP($J359,KEY!$D$6:$F$76,2,FALSE),""))</f>
        <v>Audi</v>
      </c>
      <c r="G359" t="str">
        <f t="shared" si="133"/>
        <v>Q3 Shop 2_Audi Chandler</v>
      </c>
      <c r="H359" s="30">
        <f t="shared" si="134"/>
        <v>4</v>
      </c>
      <c r="I359" s="30">
        <f t="shared" si="135"/>
        <v>3</v>
      </c>
      <c r="J359" s="110" t="s">
        <v>60</v>
      </c>
      <c r="L359" t="s">
        <v>429</v>
      </c>
      <c r="M359" t="s">
        <v>57</v>
      </c>
      <c r="N359" t="s">
        <v>56</v>
      </c>
      <c r="O359" t="s">
        <v>57</v>
      </c>
      <c r="P359" t="s">
        <v>57</v>
      </c>
    </row>
    <row r="360" spans="1:22">
      <c r="A360" s="23" t="str">
        <f t="shared" si="131"/>
        <v>Q3 Shop 2</v>
      </c>
      <c r="B360" s="36" t="str">
        <f t="shared" si="136"/>
        <v>Q3</v>
      </c>
      <c r="C360" s="33">
        <f t="shared" si="136"/>
        <v>2</v>
      </c>
      <c r="D360" t="str">
        <f t="shared" si="132"/>
        <v>Audi North Scottsdale</v>
      </c>
      <c r="E360" t="str">
        <f>IF($J360="","",IFERROR(VLOOKUP($J360,KEY!$D$6:$F$76,3,FALSE),""))</f>
        <v>Arizona</v>
      </c>
      <c r="F360" t="str">
        <f>IF($J360="","",IFERROR(VLOOKUP($J360,KEY!$D$6:$F$76,2,FALSE),""))</f>
        <v>Audi</v>
      </c>
      <c r="G360" t="str">
        <f t="shared" si="133"/>
        <v>Q3 Shop 2_Audi North Scottsdale</v>
      </c>
      <c r="H360" s="30">
        <f t="shared" si="134"/>
        <v>4</v>
      </c>
      <c r="I360" s="30">
        <f t="shared" si="135"/>
        <v>4</v>
      </c>
      <c r="J360" s="110" t="s">
        <v>66</v>
      </c>
      <c r="L360" t="s">
        <v>430</v>
      </c>
      <c r="M360" t="s">
        <v>57</v>
      </c>
      <c r="N360" t="s">
        <v>57</v>
      </c>
      <c r="O360" t="s">
        <v>57</v>
      </c>
      <c r="P360" t="s">
        <v>57</v>
      </c>
    </row>
    <row r="361" spans="1:22">
      <c r="A361" s="23" t="str">
        <f t="shared" si="131"/>
        <v>Q3 Shop 2</v>
      </c>
      <c r="B361" s="36" t="str">
        <f t="shared" si="136"/>
        <v>Q3</v>
      </c>
      <c r="C361" s="33">
        <f t="shared" si="136"/>
        <v>2</v>
      </c>
      <c r="D361" t="str">
        <f t="shared" si="132"/>
        <v>Bentley Scottsdale</v>
      </c>
      <c r="E361" t="str">
        <f>IF($J361="","",IFERROR(VLOOKUP($J361,KEY!$D$6:$F$76,3,FALSE),""))</f>
        <v>Arizona</v>
      </c>
      <c r="F361" t="str">
        <f>IF($J361="","",IFERROR(VLOOKUP($J361,KEY!$D$6:$F$76,2,FALSE),""))</f>
        <v>Ultra</v>
      </c>
      <c r="G361" t="str">
        <f t="shared" si="133"/>
        <v>Q3 Shop 2_Bentley Scottsdale</v>
      </c>
      <c r="H361" s="30">
        <f t="shared" si="134"/>
        <v>4</v>
      </c>
      <c r="I361" s="30">
        <f t="shared" si="135"/>
        <v>4</v>
      </c>
      <c r="J361" s="110" t="s">
        <v>72</v>
      </c>
      <c r="L361" t="s">
        <v>431</v>
      </c>
      <c r="M361" t="s">
        <v>57</v>
      </c>
      <c r="N361" t="s">
        <v>57</v>
      </c>
      <c r="O361" t="s">
        <v>57</v>
      </c>
      <c r="P361" t="s">
        <v>57</v>
      </c>
    </row>
    <row r="362" spans="1:22">
      <c r="A362" s="23" t="str">
        <f t="shared" si="131"/>
        <v>Q3 Shop 2</v>
      </c>
      <c r="B362" s="36" t="str">
        <f t="shared" si="136"/>
        <v>Q3</v>
      </c>
      <c r="C362" s="33">
        <f t="shared" si="136"/>
        <v>2</v>
      </c>
      <c r="D362" t="str">
        <f t="shared" si="132"/>
        <v>BMW North Scottsdale</v>
      </c>
      <c r="E362" t="str">
        <f>IF($J362="","",IFERROR(VLOOKUP($J362,KEY!$D$6:$F$76,3,FALSE),""))</f>
        <v>Arizona</v>
      </c>
      <c r="F362" t="str">
        <f>IF($J362="","",IFERROR(VLOOKUP($J362,KEY!$D$6:$F$76,2,FALSE),""))</f>
        <v>BMW</v>
      </c>
      <c r="G362" t="str">
        <f t="shared" si="133"/>
        <v>Q3 Shop 2_BMW North Scottsdale</v>
      </c>
      <c r="H362" s="30">
        <f t="shared" si="134"/>
        <v>4</v>
      </c>
      <c r="I362" s="30">
        <f t="shared" si="135"/>
        <v>3</v>
      </c>
      <c r="J362" s="110" t="s">
        <v>74</v>
      </c>
      <c r="L362" t="s">
        <v>432</v>
      </c>
      <c r="M362" t="s">
        <v>56</v>
      </c>
      <c r="N362" t="s">
        <v>57</v>
      </c>
      <c r="O362" t="s">
        <v>57</v>
      </c>
      <c r="P362" t="s">
        <v>57</v>
      </c>
    </row>
    <row r="363" spans="1:22">
      <c r="A363" s="23" t="str">
        <f t="shared" si="131"/>
        <v>Q3 Shop 2</v>
      </c>
      <c r="B363" s="36" t="str">
        <f t="shared" si="136"/>
        <v>Q3</v>
      </c>
      <c r="C363" s="33">
        <f t="shared" si="136"/>
        <v>2</v>
      </c>
      <c r="D363" t="str">
        <f t="shared" si="132"/>
        <v>Lamborghini North Scottsdale</v>
      </c>
      <c r="E363" t="str">
        <f>IF($J363="","",IFERROR(VLOOKUP($J363,KEY!$D$6:$F$76,3,FALSE),""))</f>
        <v>Arizona</v>
      </c>
      <c r="F363" t="str">
        <f>IF($J363="","",IFERROR(VLOOKUP($J363,KEY!$D$6:$F$76,2,FALSE),""))</f>
        <v>Ultra</v>
      </c>
      <c r="G363" t="str">
        <f t="shared" si="133"/>
        <v>Q3 Shop 2_Lamborghini North Scottsdale</v>
      </c>
      <c r="H363" s="30">
        <f t="shared" si="134"/>
        <v>4</v>
      </c>
      <c r="I363" s="30">
        <f t="shared" si="135"/>
        <v>1</v>
      </c>
      <c r="J363" s="110" t="s">
        <v>114</v>
      </c>
      <c r="L363" t="s">
        <v>379</v>
      </c>
      <c r="M363" t="s">
        <v>57</v>
      </c>
      <c r="N363" t="s">
        <v>56</v>
      </c>
      <c r="O363" t="s">
        <v>56</v>
      </c>
      <c r="P363" t="s">
        <v>56</v>
      </c>
    </row>
    <row r="364" spans="1:22">
      <c r="A364" s="23" t="str">
        <f t="shared" si="131"/>
        <v>Q3 Shop 2</v>
      </c>
      <c r="B364" s="36" t="str">
        <f t="shared" si="136"/>
        <v>Q3</v>
      </c>
      <c r="C364" s="33">
        <f t="shared" si="136"/>
        <v>2</v>
      </c>
      <c r="D364" t="str">
        <f t="shared" si="132"/>
        <v>Land Rover Chandler</v>
      </c>
      <c r="E364" t="str">
        <f>IF($J364="","",IFERROR(VLOOKUP($J364,KEY!$D$6:$F$76,3,FALSE),""))</f>
        <v>Arizona</v>
      </c>
      <c r="F364" t="str">
        <f>IF($J364="","",IFERROR(VLOOKUP($J364,KEY!$D$6:$F$76,2,FALSE),""))</f>
        <v>LR</v>
      </c>
      <c r="G364" t="str">
        <f t="shared" si="133"/>
        <v>Q3 Shop 2_Land Rover Chandler</v>
      </c>
      <c r="H364" s="30">
        <f t="shared" si="134"/>
        <v>4</v>
      </c>
      <c r="I364" s="30">
        <f t="shared" si="135"/>
        <v>4</v>
      </c>
      <c r="J364" s="110" t="s">
        <v>116</v>
      </c>
      <c r="L364" t="s">
        <v>381</v>
      </c>
      <c r="M364" t="s">
        <v>57</v>
      </c>
      <c r="N364" t="s">
        <v>57</v>
      </c>
      <c r="O364" t="s">
        <v>57</v>
      </c>
      <c r="P364" t="s">
        <v>57</v>
      </c>
    </row>
    <row r="365" spans="1:22">
      <c r="A365" s="23" t="str">
        <f t="shared" si="131"/>
        <v>Q3 Shop 2</v>
      </c>
      <c r="B365" s="36" t="str">
        <f t="shared" si="136"/>
        <v>Q3</v>
      </c>
      <c r="C365" s="33">
        <f t="shared" si="136"/>
        <v>2</v>
      </c>
      <c r="D365" t="str">
        <f t="shared" si="132"/>
        <v>Land Rover North Scottsdale</v>
      </c>
      <c r="E365" t="str">
        <f>IF($J365="","",IFERROR(VLOOKUP($J365,KEY!$D$6:$F$76,3,FALSE),""))</f>
        <v>Arizona</v>
      </c>
      <c r="F365" t="str">
        <f>IF($J365="","",IFERROR(VLOOKUP($J365,KEY!$D$6:$F$76,2,FALSE),""))</f>
        <v>LR</v>
      </c>
      <c r="G365" t="str">
        <f t="shared" si="133"/>
        <v>Q3 Shop 2_Land Rover North Scottsdale</v>
      </c>
      <c r="H365" s="30">
        <f t="shared" si="134"/>
        <v>4</v>
      </c>
      <c r="I365" s="30">
        <f t="shared" si="135"/>
        <v>2</v>
      </c>
      <c r="J365" s="110" t="s">
        <v>118</v>
      </c>
      <c r="L365" t="s">
        <v>433</v>
      </c>
      <c r="M365" t="s">
        <v>56</v>
      </c>
      <c r="N365" t="s">
        <v>56</v>
      </c>
      <c r="O365" t="s">
        <v>57</v>
      </c>
      <c r="P365" t="s">
        <v>57</v>
      </c>
    </row>
    <row r="366" spans="1:22">
      <c r="A366" s="23" t="str">
        <f t="shared" si="131"/>
        <v>Q3 Shop 2</v>
      </c>
      <c r="B366" s="36" t="str">
        <f t="shared" si="136"/>
        <v>Q3</v>
      </c>
      <c r="C366" s="33">
        <f t="shared" si="136"/>
        <v>2</v>
      </c>
      <c r="D366" t="str">
        <f t="shared" si="132"/>
        <v>Lexus of Chandler</v>
      </c>
      <c r="E366" t="str">
        <f>IF($J366="","",IFERROR(VLOOKUP($J366,KEY!$D$6:$F$76,3,FALSE),""))</f>
        <v>Arizona</v>
      </c>
      <c r="F366" t="str">
        <f>IF($J366="","",IFERROR(VLOOKUP($J366,KEY!$D$6:$F$76,2,FALSE),""))</f>
        <v>Lexus</v>
      </c>
      <c r="G366" t="str">
        <f t="shared" si="133"/>
        <v>Q3 Shop 2_Lexus of Chandler</v>
      </c>
      <c r="H366" s="30">
        <f t="shared" si="134"/>
        <v>4</v>
      </c>
      <c r="I366" s="30">
        <f t="shared" si="135"/>
        <v>3</v>
      </c>
      <c r="J366" s="110" t="s">
        <v>122</v>
      </c>
      <c r="L366" t="s">
        <v>434</v>
      </c>
      <c r="M366" t="s">
        <v>57</v>
      </c>
      <c r="N366" t="s">
        <v>56</v>
      </c>
      <c r="O366" t="s">
        <v>57</v>
      </c>
      <c r="P366" t="s">
        <v>57</v>
      </c>
    </row>
    <row r="367" spans="1:22">
      <c r="A367" s="23" t="str">
        <f t="shared" si="131"/>
        <v>Q3 Shop 2</v>
      </c>
      <c r="B367" s="36" t="str">
        <f t="shared" si="136"/>
        <v>Q3</v>
      </c>
      <c r="C367" s="33">
        <f t="shared" si="136"/>
        <v>2</v>
      </c>
      <c r="D367" t="str">
        <f t="shared" si="132"/>
        <v>Mercedes-Benz of Chandler</v>
      </c>
      <c r="E367" t="str">
        <f>IF($J367="","",IFERROR(VLOOKUP($J367,KEY!$D$6:$F$76,3,FALSE),""))</f>
        <v>Arizona</v>
      </c>
      <c r="F367" t="str">
        <f>IF($J367="","",IFERROR(VLOOKUP($J367,KEY!$D$6:$F$76,2,FALSE),""))</f>
        <v>Mercedes-Benz</v>
      </c>
      <c r="G367" t="str">
        <f t="shared" si="133"/>
        <v>Q3 Shop 2_Mercedes-Benz of Chandler</v>
      </c>
      <c r="H367" s="30">
        <f t="shared" si="134"/>
        <v>4</v>
      </c>
      <c r="I367" s="30">
        <f t="shared" si="135"/>
        <v>4</v>
      </c>
      <c r="J367" s="110" t="s">
        <v>132</v>
      </c>
      <c r="L367" t="s">
        <v>384</v>
      </c>
      <c r="M367" t="s">
        <v>57</v>
      </c>
      <c r="N367" t="s">
        <v>57</v>
      </c>
      <c r="O367" t="s">
        <v>57</v>
      </c>
      <c r="P367" t="s">
        <v>57</v>
      </c>
    </row>
    <row r="368" spans="1:22">
      <c r="A368" s="23" t="str">
        <f t="shared" si="131"/>
        <v>Q3 Shop 2</v>
      </c>
      <c r="B368" s="36" t="str">
        <f t="shared" si="136"/>
        <v>Q3</v>
      </c>
      <c r="C368" s="33">
        <f t="shared" si="136"/>
        <v>2</v>
      </c>
      <c r="D368" t="str">
        <f t="shared" si="132"/>
        <v>Mercedes-Benz of North Scottsdale</v>
      </c>
      <c r="E368" t="str">
        <f>IF($J368="","",IFERROR(VLOOKUP($J368,KEY!$D$6:$F$76,3,FALSE),""))</f>
        <v>Arizona</v>
      </c>
      <c r="F368" t="str">
        <f>IF($J368="","",IFERROR(VLOOKUP($J368,KEY!$D$6:$F$76,2,FALSE),""))</f>
        <v>Mercedes-Benz</v>
      </c>
      <c r="G368" t="str">
        <f t="shared" si="133"/>
        <v>Q3 Shop 2_Mercedes-Benz of North Scottsdale</v>
      </c>
      <c r="H368" s="30">
        <f t="shared" si="134"/>
        <v>4</v>
      </c>
      <c r="I368" s="30">
        <f t="shared" si="135"/>
        <v>4</v>
      </c>
      <c r="J368" s="110" t="s">
        <v>134</v>
      </c>
      <c r="L368" t="s">
        <v>435</v>
      </c>
      <c r="M368" t="s">
        <v>57</v>
      </c>
      <c r="N368" t="s">
        <v>57</v>
      </c>
      <c r="O368" t="s">
        <v>57</v>
      </c>
      <c r="P368" t="s">
        <v>57</v>
      </c>
    </row>
    <row r="369" spans="1:16">
      <c r="A369" s="23" t="str">
        <f t="shared" si="131"/>
        <v>Q3 Shop 2</v>
      </c>
      <c r="B369" s="36" t="str">
        <f t="shared" si="136"/>
        <v>Q3</v>
      </c>
      <c r="C369" s="33">
        <f t="shared" si="136"/>
        <v>2</v>
      </c>
      <c r="D369" t="str">
        <f t="shared" si="132"/>
        <v>MINI North Scottsdale</v>
      </c>
      <c r="E369" t="str">
        <f>IF($J369="","",IFERROR(VLOOKUP($J369,KEY!$D$6:$F$76,3,FALSE),""))</f>
        <v>Arizona</v>
      </c>
      <c r="F369" t="str">
        <f>IF($J369="","",IFERROR(VLOOKUP($J369,KEY!$D$6:$F$76,2,FALSE),""))</f>
        <v>MINI</v>
      </c>
      <c r="G369" t="str">
        <f t="shared" si="133"/>
        <v>Q3 Shop 2_MINI North Scottsdale</v>
      </c>
      <c r="H369" s="30">
        <f t="shared" si="134"/>
        <v>4</v>
      </c>
      <c r="I369" s="30">
        <f t="shared" si="135"/>
        <v>4</v>
      </c>
      <c r="J369" s="110" t="s">
        <v>138</v>
      </c>
      <c r="L369" t="s">
        <v>436</v>
      </c>
      <c r="M369" t="s">
        <v>57</v>
      </c>
      <c r="N369" t="s">
        <v>57</v>
      </c>
      <c r="O369" t="s">
        <v>57</v>
      </c>
      <c r="P369" t="s">
        <v>57</v>
      </c>
    </row>
    <row r="370" spans="1:16">
      <c r="A370" s="23" t="str">
        <f t="shared" si="131"/>
        <v>Q3 Shop 2</v>
      </c>
      <c r="B370" s="36" t="str">
        <f t="shared" si="136"/>
        <v>Q3</v>
      </c>
      <c r="C370" s="33">
        <f t="shared" si="136"/>
        <v>2</v>
      </c>
      <c r="D370" t="str">
        <f t="shared" si="132"/>
        <v>MINI of Tempe</v>
      </c>
      <c r="E370" t="str">
        <f>IF($J370="","",IFERROR(VLOOKUP($J370,KEY!$D$6:$F$76,3,FALSE),""))</f>
        <v>Arizona</v>
      </c>
      <c r="F370" t="str">
        <f>IF($J370="","",IFERROR(VLOOKUP($J370,KEY!$D$6:$F$76,2,FALSE),""))</f>
        <v>MINI</v>
      </c>
      <c r="G370" t="str">
        <f t="shared" si="133"/>
        <v>Q3 Shop 2_MINI of Tempe</v>
      </c>
      <c r="H370" s="30">
        <f t="shared" si="134"/>
        <v>4</v>
      </c>
      <c r="I370" s="30">
        <f t="shared" si="135"/>
        <v>4</v>
      </c>
      <c r="J370" s="110" t="s">
        <v>148</v>
      </c>
      <c r="L370" t="s">
        <v>437</v>
      </c>
      <c r="M370" t="s">
        <v>57</v>
      </c>
      <c r="N370" t="s">
        <v>57</v>
      </c>
      <c r="O370" t="s">
        <v>57</v>
      </c>
      <c r="P370" t="s">
        <v>57</v>
      </c>
    </row>
    <row r="371" spans="1:16">
      <c r="A371" s="23" t="str">
        <f t="shared" si="131"/>
        <v>Q3 Shop 2</v>
      </c>
      <c r="B371" s="36" t="str">
        <f t="shared" si="136"/>
        <v>Q3</v>
      </c>
      <c r="C371" s="33">
        <f t="shared" si="136"/>
        <v>2</v>
      </c>
      <c r="D371" t="str">
        <f t="shared" si="132"/>
        <v>Porsche North Scottsdale</v>
      </c>
      <c r="E371" t="str">
        <f>IF($J371="","",IFERROR(VLOOKUP($J371,KEY!$D$6:$F$76,3,FALSE),""))</f>
        <v>Arizona</v>
      </c>
      <c r="F371" t="str">
        <f>IF($J371="","",IFERROR(VLOOKUP($J371,KEY!$D$6:$F$76,2,FALSE),""))</f>
        <v>Porsche</v>
      </c>
      <c r="G371" t="str">
        <f t="shared" si="133"/>
        <v>Q3 Shop 2_Porsche North Scottsdale</v>
      </c>
      <c r="H371" s="30">
        <f t="shared" si="134"/>
        <v>4</v>
      </c>
      <c r="I371" s="30">
        <f t="shared" si="135"/>
        <v>4</v>
      </c>
      <c r="J371" s="110" t="s">
        <v>160</v>
      </c>
      <c r="L371" t="s">
        <v>438</v>
      </c>
      <c r="M371" t="s">
        <v>57</v>
      </c>
      <c r="N371" t="s">
        <v>57</v>
      </c>
      <c r="O371" t="s">
        <v>57</v>
      </c>
      <c r="P371" t="s">
        <v>57</v>
      </c>
    </row>
    <row r="372" spans="1:16">
      <c r="A372" s="23" t="str">
        <f t="shared" si="131"/>
        <v>Q3 Shop 2</v>
      </c>
      <c r="B372" s="36" t="str">
        <f t="shared" si="136"/>
        <v>Q3</v>
      </c>
      <c r="C372" s="33">
        <f t="shared" si="136"/>
        <v>2</v>
      </c>
      <c r="D372" t="str">
        <f t="shared" si="132"/>
        <v>Scottsdale Ferrari Maserati</v>
      </c>
      <c r="E372" t="str">
        <f>IF($J372="","",IFERROR(VLOOKUP($J372,KEY!$D$6:$F$76,3,FALSE),""))</f>
        <v>Arizona</v>
      </c>
      <c r="F372" t="str">
        <f>IF($J372="","",IFERROR(VLOOKUP($J372,KEY!$D$6:$F$76,2,FALSE),""))</f>
        <v>Ultra</v>
      </c>
      <c r="G372" t="str">
        <f t="shared" si="133"/>
        <v>Q3 Shop 2_Scottsdale Ferrari Maserati</v>
      </c>
      <c r="H372" s="30">
        <f t="shared" si="134"/>
        <v>4</v>
      </c>
      <c r="I372" s="30">
        <f t="shared" si="135"/>
        <v>0</v>
      </c>
      <c r="J372" s="110" t="s">
        <v>170</v>
      </c>
      <c r="L372" t="s">
        <v>439</v>
      </c>
      <c r="M372" t="s">
        <v>56</v>
      </c>
      <c r="N372" t="s">
        <v>56</v>
      </c>
      <c r="O372" t="s">
        <v>56</v>
      </c>
      <c r="P372" t="s">
        <v>56</v>
      </c>
    </row>
    <row r="373" spans="1:16">
      <c r="A373" s="23" t="str">
        <f t="shared" si="131"/>
        <v>Q3 Shop 2</v>
      </c>
      <c r="B373" s="36" t="str">
        <f t="shared" si="136"/>
        <v>Q3</v>
      </c>
      <c r="C373" s="33">
        <f t="shared" si="136"/>
        <v>2</v>
      </c>
      <c r="D373" t="str">
        <f t="shared" si="132"/>
        <v>Tempe Honda</v>
      </c>
      <c r="E373" t="str">
        <f>IF($J373="","",IFERROR(VLOOKUP($J373,KEY!$D$6:$F$76,3,FALSE),""))</f>
        <v>Arizona</v>
      </c>
      <c r="F373" t="str">
        <f>IF($J373="","",IFERROR(VLOOKUP($J373,KEY!$D$6:$F$76,2,FALSE),""))</f>
        <v>Honda</v>
      </c>
      <c r="G373" t="str">
        <f t="shared" si="133"/>
        <v>Q3 Shop 2_Tempe Honda</v>
      </c>
      <c r="H373" s="30">
        <f t="shared" si="134"/>
        <v>4</v>
      </c>
      <c r="I373" s="30">
        <f t="shared" si="135"/>
        <v>4</v>
      </c>
      <c r="J373" s="110" t="s">
        <v>174</v>
      </c>
      <c r="L373" t="s">
        <v>440</v>
      </c>
      <c r="M373" t="s">
        <v>57</v>
      </c>
      <c r="N373" t="s">
        <v>57</v>
      </c>
      <c r="O373" t="s">
        <v>57</v>
      </c>
      <c r="P373" t="s">
        <v>57</v>
      </c>
    </row>
    <row r="374" spans="1:16">
      <c r="A374" s="23" t="str">
        <f t="shared" si="131"/>
        <v>Q3 Shop 2</v>
      </c>
      <c r="B374" s="36" t="str">
        <f t="shared" si="136"/>
        <v>Q3</v>
      </c>
      <c r="C374" s="33">
        <f t="shared" si="136"/>
        <v>2</v>
      </c>
      <c r="D374" t="str">
        <f t="shared" si="132"/>
        <v>Toyota of Surprise</v>
      </c>
      <c r="E374" t="str">
        <f>IF($J374="","",IFERROR(VLOOKUP($J374,KEY!$D$6:$F$76,3,FALSE),""))</f>
        <v>Arizona</v>
      </c>
      <c r="F374" t="str">
        <f>IF($J374="","",IFERROR(VLOOKUP($J374,KEY!$D$6:$F$76,2,FALSE),""))</f>
        <v>Toyota</v>
      </c>
      <c r="G374" t="str">
        <f t="shared" si="133"/>
        <v>Q3 Shop 2_Toyota of Surprise</v>
      </c>
      <c r="H374" s="30">
        <f t="shared" si="134"/>
        <v>4</v>
      </c>
      <c r="I374" s="30">
        <f t="shared" si="135"/>
        <v>4</v>
      </c>
      <c r="J374" s="110" t="s">
        <v>178</v>
      </c>
      <c r="L374" t="s">
        <v>441</v>
      </c>
      <c r="M374" t="s">
        <v>57</v>
      </c>
      <c r="N374" t="s">
        <v>57</v>
      </c>
      <c r="O374" t="s">
        <v>57</v>
      </c>
      <c r="P374" t="s">
        <v>57</v>
      </c>
    </row>
    <row r="375" spans="1:16">
      <c r="A375" s="23" t="str">
        <f t="shared" ref="A375:A426" si="137">B375&amp;" Shop "&amp;C375</f>
        <v>Q3 Shop 2</v>
      </c>
      <c r="B375" s="36" t="str">
        <f t="shared" ref="B375:C375" si="138">B374</f>
        <v>Q3</v>
      </c>
      <c r="C375" s="33">
        <f t="shared" si="138"/>
        <v>2</v>
      </c>
      <c r="D375" t="str">
        <f t="shared" si="132"/>
        <v>Volkswagen North Scottsdale</v>
      </c>
      <c r="E375" t="str">
        <f>IF($J375="","",IFERROR(VLOOKUP($J375,KEY!$D$6:$F$76,3,FALSE),""))</f>
        <v>Arizona</v>
      </c>
      <c r="F375" t="str">
        <f>IF($J375="","",IFERROR(VLOOKUP($J375,KEY!$D$6:$F$76,2,FALSE),""))</f>
        <v>Volkswagen</v>
      </c>
      <c r="G375" t="str">
        <f t="shared" ref="G375:G426" si="139">IF($J375="","",A375&amp;"_"&amp;D375)</f>
        <v>Q3 Shop 2_Volkswagen North Scottsdale</v>
      </c>
      <c r="H375" s="30">
        <f t="shared" si="134"/>
        <v>4</v>
      </c>
      <c r="I375" s="30">
        <f t="shared" si="135"/>
        <v>2</v>
      </c>
      <c r="J375" s="110" t="s">
        <v>180</v>
      </c>
      <c r="L375" t="s">
        <v>442</v>
      </c>
      <c r="M375" t="s">
        <v>57</v>
      </c>
      <c r="N375" t="s">
        <v>56</v>
      </c>
      <c r="O375" t="s">
        <v>57</v>
      </c>
      <c r="P375" t="s">
        <v>56</v>
      </c>
    </row>
    <row r="376" spans="1:16">
      <c r="A376" s="23" t="str">
        <f t="shared" si="137"/>
        <v>Q3 Shop 2</v>
      </c>
      <c r="B376" s="36" t="str">
        <f t="shared" ref="B376:C376" si="140">B375</f>
        <v>Q3</v>
      </c>
      <c r="C376" s="33">
        <f t="shared" si="140"/>
        <v>2</v>
      </c>
      <c r="D376" t="str">
        <f t="shared" si="132"/>
        <v>Audi San Jose</v>
      </c>
      <c r="E376" t="str">
        <f>IF($J376="","",IFERROR(VLOOKUP($J376,KEY!$D$6:$F$76,3,FALSE),""))</f>
        <v>Northern California</v>
      </c>
      <c r="F376" t="str">
        <f>IF($J376="","",IFERROR(VLOOKUP($J376,KEY!$D$6:$F$76,2,FALSE),""))</f>
        <v>Audi</v>
      </c>
      <c r="G376" t="str">
        <f t="shared" si="139"/>
        <v>Q3 Shop 2_Audi San Jose</v>
      </c>
      <c r="H376" s="30">
        <f t="shared" si="134"/>
        <v>4</v>
      </c>
      <c r="I376" s="30">
        <f t="shared" si="135"/>
        <v>3</v>
      </c>
      <c r="J376" s="110" t="s">
        <v>68</v>
      </c>
      <c r="L376" t="s">
        <v>443</v>
      </c>
      <c r="M376" t="s">
        <v>57</v>
      </c>
      <c r="N376" t="s">
        <v>57</v>
      </c>
      <c r="O376" t="s">
        <v>56</v>
      </c>
      <c r="P376" t="s">
        <v>57</v>
      </c>
    </row>
    <row r="377" spans="1:16">
      <c r="A377" s="23" t="str">
        <f t="shared" si="137"/>
        <v>Q3 Shop 2</v>
      </c>
      <c r="B377" s="36" t="str">
        <f t="shared" ref="B377:C377" si="141">B376</f>
        <v>Q3</v>
      </c>
      <c r="C377" s="33">
        <f t="shared" si="141"/>
        <v>2</v>
      </c>
      <c r="D377" t="str">
        <f t="shared" si="132"/>
        <v>Capitol Honda</v>
      </c>
      <c r="E377" t="str">
        <f>IF($J377="","",IFERROR(VLOOKUP($J377,KEY!$D$6:$F$76,3,FALSE),""))</f>
        <v>Northern California</v>
      </c>
      <c r="F377" t="str">
        <f>IF($J377="","",IFERROR(VLOOKUP($J377,KEY!$D$6:$F$76,2,FALSE),""))</f>
        <v>Honda</v>
      </c>
      <c r="G377" t="str">
        <f t="shared" si="139"/>
        <v>Q3 Shop 2_Capitol Honda</v>
      </c>
      <c r="H377" s="30">
        <f t="shared" si="134"/>
        <v>4</v>
      </c>
      <c r="I377" s="30">
        <f t="shared" si="135"/>
        <v>3</v>
      </c>
      <c r="J377" s="110" t="s">
        <v>88</v>
      </c>
      <c r="L377" t="s">
        <v>444</v>
      </c>
      <c r="M377" t="s">
        <v>57</v>
      </c>
      <c r="N377" t="s">
        <v>57</v>
      </c>
      <c r="O377" t="s">
        <v>56</v>
      </c>
      <c r="P377" t="s">
        <v>57</v>
      </c>
    </row>
    <row r="378" spans="1:16">
      <c r="A378" s="23" t="str">
        <f t="shared" si="137"/>
        <v>Q3 Shop 2</v>
      </c>
      <c r="B378" s="36" t="str">
        <f t="shared" ref="B378:C378" si="142">B377</f>
        <v>Q3</v>
      </c>
      <c r="C378" s="33">
        <f t="shared" si="142"/>
        <v>2</v>
      </c>
      <c r="D378" t="str">
        <f t="shared" si="132"/>
        <v>Honda North</v>
      </c>
      <c r="E378" t="str">
        <f>IF($J378="","",IFERROR(VLOOKUP($J378,KEY!$D$6:$F$76,3,FALSE),""))</f>
        <v>Northern California</v>
      </c>
      <c r="F378" t="str">
        <f>IF($J378="","",IFERROR(VLOOKUP($J378,KEY!$D$6:$F$76,2,FALSE),""))</f>
        <v>Honda</v>
      </c>
      <c r="G378" t="str">
        <f t="shared" si="139"/>
        <v>Q3 Shop 2_Honda North</v>
      </c>
      <c r="H378" s="30">
        <f t="shared" si="134"/>
        <v>4</v>
      </c>
      <c r="I378" s="30">
        <f t="shared" si="135"/>
        <v>4</v>
      </c>
      <c r="J378" s="110" t="s">
        <v>102</v>
      </c>
      <c r="L378" t="s">
        <v>394</v>
      </c>
      <c r="M378" t="s">
        <v>57</v>
      </c>
      <c r="N378" t="s">
        <v>57</v>
      </c>
      <c r="O378" t="s">
        <v>57</v>
      </c>
      <c r="P378" t="s">
        <v>57</v>
      </c>
    </row>
    <row r="379" spans="1:16">
      <c r="A379" s="23" t="str">
        <f t="shared" si="137"/>
        <v>Q3 Shop 2</v>
      </c>
      <c r="B379" s="36" t="str">
        <f t="shared" ref="B379:C379" si="143">B378</f>
        <v>Q3</v>
      </c>
      <c r="C379" s="33">
        <f t="shared" si="143"/>
        <v>2</v>
      </c>
      <c r="D379" t="str">
        <f t="shared" si="132"/>
        <v>Capitol Acura</v>
      </c>
      <c r="E379" t="str">
        <f>IF($J379="","",IFERROR(VLOOKUP($J379,KEY!$D$6:$F$76,3,FALSE),""))</f>
        <v>Northern California</v>
      </c>
      <c r="F379" t="str">
        <f>IF($J379="","",IFERROR(VLOOKUP($J379,KEY!$D$6:$F$76,2,FALSE),""))</f>
        <v>Acura</v>
      </c>
      <c r="G379" t="str">
        <f t="shared" si="139"/>
        <v>Q3 Shop 2_Capitol Acura</v>
      </c>
      <c r="H379" s="30">
        <f t="shared" si="134"/>
        <v>4</v>
      </c>
      <c r="I379" s="30">
        <f t="shared" si="135"/>
        <v>3</v>
      </c>
      <c r="J379" s="110" t="s">
        <v>86</v>
      </c>
      <c r="L379" t="s">
        <v>395</v>
      </c>
      <c r="M379" t="s">
        <v>57</v>
      </c>
      <c r="N379" t="s">
        <v>56</v>
      </c>
      <c r="O379" t="s">
        <v>57</v>
      </c>
      <c r="P379" t="s">
        <v>57</v>
      </c>
    </row>
    <row r="380" spans="1:16">
      <c r="A380" s="23" t="str">
        <f t="shared" si="137"/>
        <v>Q3 Shop 2</v>
      </c>
      <c r="B380" s="36" t="str">
        <f t="shared" ref="B380:C380" si="144">B379</f>
        <v>Q3</v>
      </c>
      <c r="C380" s="33">
        <f t="shared" si="144"/>
        <v>2</v>
      </c>
      <c r="D380" t="str">
        <f t="shared" si="132"/>
        <v>MINI of Marin</v>
      </c>
      <c r="E380" t="str">
        <f>IF($J380="","",IFERROR(VLOOKUP($J380,KEY!$D$6:$F$76,3,FALSE),""))</f>
        <v>Northern California</v>
      </c>
      <c r="F380" t="str">
        <f>IF($J380="","",IFERROR(VLOOKUP($J380,KEY!$D$6:$F$76,2,FALSE),""))</f>
        <v>MINI</v>
      </c>
      <c r="G380" t="str">
        <f t="shared" si="139"/>
        <v>Q3 Shop 2_MINI of Marin</v>
      </c>
      <c r="H380" s="30">
        <f t="shared" si="134"/>
        <v>4</v>
      </c>
      <c r="I380" s="30">
        <f t="shared" si="135"/>
        <v>0</v>
      </c>
      <c r="J380" s="110" t="s">
        <v>142</v>
      </c>
      <c r="L380" t="s">
        <v>445</v>
      </c>
      <c r="M380" t="s">
        <v>56</v>
      </c>
      <c r="N380" t="s">
        <v>56</v>
      </c>
      <c r="O380" t="s">
        <v>56</v>
      </c>
      <c r="P380" t="s">
        <v>56</v>
      </c>
    </row>
    <row r="381" spans="1:16">
      <c r="A381" s="23" t="str">
        <f t="shared" si="137"/>
        <v>Q3 Shop 2</v>
      </c>
      <c r="B381" s="36" t="str">
        <f t="shared" ref="B381:C381" si="145">B380</f>
        <v>Q3</v>
      </c>
      <c r="C381" s="33">
        <f t="shared" si="145"/>
        <v>2</v>
      </c>
      <c r="D381" t="str">
        <f t="shared" si="132"/>
        <v>Peter Pan BMW</v>
      </c>
      <c r="E381" t="str">
        <f>IF($J381="","",IFERROR(VLOOKUP($J381,KEY!$D$6:$F$76,3,FALSE),""))</f>
        <v>Northern California</v>
      </c>
      <c r="F381" t="str">
        <f>IF($J381="","",IFERROR(VLOOKUP($J381,KEY!$D$6:$F$76,2,FALSE),""))</f>
        <v>BMW</v>
      </c>
      <c r="G381" t="str">
        <f t="shared" si="139"/>
        <v>Q3 Shop 2_Peter Pan BMW</v>
      </c>
      <c r="H381" s="30">
        <f t="shared" si="134"/>
        <v>4</v>
      </c>
      <c r="I381" s="30">
        <f t="shared" si="135"/>
        <v>4</v>
      </c>
      <c r="J381" s="110" t="s">
        <v>158</v>
      </c>
      <c r="L381" t="s">
        <v>336</v>
      </c>
      <c r="M381" t="s">
        <v>57</v>
      </c>
      <c r="N381" t="s">
        <v>57</v>
      </c>
      <c r="O381" t="s">
        <v>57</v>
      </c>
      <c r="P381" t="s">
        <v>57</v>
      </c>
    </row>
    <row r="382" spans="1:16">
      <c r="A382" s="23" t="str">
        <f t="shared" si="137"/>
        <v>Q3 Shop 2</v>
      </c>
      <c r="B382" s="36" t="str">
        <f t="shared" ref="B382:C382" si="146">B381</f>
        <v>Q3</v>
      </c>
      <c r="C382" s="33">
        <f t="shared" si="146"/>
        <v>2</v>
      </c>
      <c r="D382" t="str">
        <f t="shared" si="132"/>
        <v>Porsche Stevens Creek</v>
      </c>
      <c r="E382" t="str">
        <f>IF($J382="","",IFERROR(VLOOKUP($J382,KEY!$D$6:$F$76,3,FALSE),""))</f>
        <v>Northern California</v>
      </c>
      <c r="F382" t="str">
        <f>IF($J382="","",IFERROR(VLOOKUP($J382,KEY!$D$6:$F$76,2,FALSE),""))</f>
        <v>Porsche</v>
      </c>
      <c r="G382" t="str">
        <f t="shared" si="139"/>
        <v>Q3 Shop 2_Porsche Stevens Creek</v>
      </c>
      <c r="H382" s="30">
        <f t="shared" si="134"/>
        <v>4</v>
      </c>
      <c r="I382" s="30">
        <f t="shared" si="135"/>
        <v>3</v>
      </c>
      <c r="J382" s="110" t="s">
        <v>162</v>
      </c>
      <c r="L382" t="s">
        <v>446</v>
      </c>
      <c r="M382" t="s">
        <v>57</v>
      </c>
      <c r="N382" t="s">
        <v>57</v>
      </c>
      <c r="O382" t="s">
        <v>56</v>
      </c>
      <c r="P382" t="s">
        <v>57</v>
      </c>
    </row>
    <row r="383" spans="1:16">
      <c r="A383" s="23" t="str">
        <f t="shared" si="137"/>
        <v>Q3 Shop 2</v>
      </c>
      <c r="B383" s="36" t="str">
        <f t="shared" ref="B383:C383" si="147">B382</f>
        <v>Q3</v>
      </c>
      <c r="C383" s="33">
        <f t="shared" si="147"/>
        <v>2</v>
      </c>
      <c r="D383" t="str">
        <f t="shared" si="132"/>
        <v>Toyota of Clovis</v>
      </c>
      <c r="E383" t="str">
        <f>IF($J383="","",IFERROR(VLOOKUP($J383,KEY!$D$6:$F$76,3,FALSE),""))</f>
        <v>Northern California</v>
      </c>
      <c r="F383" t="str">
        <f>IF($J383="","",IFERROR(VLOOKUP($J383,KEY!$D$6:$F$76,2,FALSE),""))</f>
        <v>Toyota</v>
      </c>
      <c r="G383" t="str">
        <f t="shared" si="139"/>
        <v>Q3 Shop 2_Toyota of Clovis</v>
      </c>
      <c r="H383" s="30">
        <f t="shared" si="134"/>
        <v>4</v>
      </c>
      <c r="I383" s="30">
        <f t="shared" si="135"/>
        <v>4</v>
      </c>
      <c r="J383" s="110" t="s">
        <v>176</v>
      </c>
      <c r="L383" t="s">
        <v>447</v>
      </c>
      <c r="M383" t="s">
        <v>57</v>
      </c>
      <c r="N383" t="s">
        <v>57</v>
      </c>
      <c r="O383" t="s">
        <v>57</v>
      </c>
      <c r="P383" t="s">
        <v>57</v>
      </c>
    </row>
    <row r="384" spans="1:16">
      <c r="A384" s="23" t="str">
        <f t="shared" si="137"/>
        <v>Q3 Shop 2</v>
      </c>
      <c r="B384" s="36" t="str">
        <f t="shared" ref="B384:C384" si="148">B383</f>
        <v>Q3</v>
      </c>
      <c r="C384" s="33">
        <f t="shared" si="148"/>
        <v>2</v>
      </c>
      <c r="D384" t="str">
        <f t="shared" si="132"/>
        <v>Audi North OC</v>
      </c>
      <c r="E384" t="str">
        <f>IF($J384="","",IFERROR(VLOOKUP($J384,KEY!$D$6:$F$76,3,FALSE),""))</f>
        <v>Orange County</v>
      </c>
      <c r="F384" t="str">
        <f>IF($J384="","",IFERROR(VLOOKUP($J384,KEY!$D$6:$F$76,2,FALSE),""))</f>
        <v>Audi</v>
      </c>
      <c r="G384" t="str">
        <f t="shared" si="139"/>
        <v>Q3 Shop 2_Audi North OC</v>
      </c>
      <c r="H384" s="30">
        <f t="shared" si="134"/>
        <v>4</v>
      </c>
      <c r="I384" s="30">
        <f t="shared" si="135"/>
        <v>4</v>
      </c>
      <c r="J384" s="110" t="s">
        <v>64</v>
      </c>
      <c r="L384" t="s">
        <v>399</v>
      </c>
      <c r="M384" t="s">
        <v>57</v>
      </c>
      <c r="N384" t="s">
        <v>57</v>
      </c>
      <c r="O384" t="s">
        <v>57</v>
      </c>
      <c r="P384" t="s">
        <v>57</v>
      </c>
    </row>
    <row r="385" spans="1:16">
      <c r="A385" s="23" t="str">
        <f t="shared" si="137"/>
        <v>Q3 Shop 2</v>
      </c>
      <c r="B385" s="36" t="str">
        <f t="shared" ref="B385:C385" si="149">B384</f>
        <v>Q3</v>
      </c>
      <c r="C385" s="33">
        <f t="shared" si="149"/>
        <v>2</v>
      </c>
      <c r="D385" t="str">
        <f t="shared" si="132"/>
        <v>Audi South Coast</v>
      </c>
      <c r="E385" t="str">
        <f>IF($J385="","",IFERROR(VLOOKUP($J385,KEY!$D$6:$F$76,3,FALSE),""))</f>
        <v>Orange County</v>
      </c>
      <c r="F385" t="str">
        <f>IF($J385="","",IFERROR(VLOOKUP($J385,KEY!$D$6:$F$76,2,FALSE),""))</f>
        <v>Audi</v>
      </c>
      <c r="G385" t="str">
        <f t="shared" si="139"/>
        <v>Q3 Shop 2_Audi South Coast</v>
      </c>
      <c r="H385" s="30">
        <f t="shared" si="134"/>
        <v>4</v>
      </c>
      <c r="I385" s="30">
        <f t="shared" si="135"/>
        <v>3</v>
      </c>
      <c r="J385" s="110" t="s">
        <v>70</v>
      </c>
      <c r="L385" t="s">
        <v>448</v>
      </c>
      <c r="M385" t="s">
        <v>57</v>
      </c>
      <c r="N385" t="s">
        <v>56</v>
      </c>
      <c r="O385" t="s">
        <v>57</v>
      </c>
      <c r="P385" t="s">
        <v>57</v>
      </c>
    </row>
    <row r="386" spans="1:16">
      <c r="A386" s="23" t="str">
        <f t="shared" si="137"/>
        <v>Q3 Shop 2</v>
      </c>
      <c r="B386" s="36" t="str">
        <f t="shared" ref="B386:C386" si="150">B385</f>
        <v>Q3</v>
      </c>
      <c r="C386" s="33">
        <f t="shared" si="150"/>
        <v>2</v>
      </c>
      <c r="D386" t="str">
        <f t="shared" si="132"/>
        <v>BMW of Ontario</v>
      </c>
      <c r="E386" t="str">
        <f>IF($J386="","",IFERROR(VLOOKUP($J386,KEY!$D$6:$F$76,3,FALSE),""))</f>
        <v>Orange County</v>
      </c>
      <c r="F386" t="str">
        <f>IF($J386="","",IFERROR(VLOOKUP($J386,KEY!$D$6:$F$76,2,FALSE),""))</f>
        <v>BMW</v>
      </c>
      <c r="G386" t="str">
        <f t="shared" si="139"/>
        <v>Q3 Shop 2_BMW of Ontario</v>
      </c>
      <c r="H386" s="30">
        <f t="shared" si="134"/>
        <v>4</v>
      </c>
      <c r="I386" s="30">
        <f t="shared" si="135"/>
        <v>4</v>
      </c>
      <c r="J386" s="110" t="s">
        <v>80</v>
      </c>
      <c r="L386" t="s">
        <v>349</v>
      </c>
      <c r="M386" t="s">
        <v>57</v>
      </c>
      <c r="N386" t="s">
        <v>57</v>
      </c>
      <c r="O386" t="s">
        <v>57</v>
      </c>
      <c r="P386" t="s">
        <v>57</v>
      </c>
    </row>
    <row r="387" spans="1:16">
      <c r="A387" s="23" t="str">
        <f t="shared" si="137"/>
        <v>Q3 Shop 2</v>
      </c>
      <c r="B387" s="36" t="str">
        <f t="shared" ref="B387:C387" si="151">B386</f>
        <v>Q3</v>
      </c>
      <c r="C387" s="33">
        <f t="shared" si="151"/>
        <v>2</v>
      </c>
      <c r="D387" t="str">
        <f t="shared" si="132"/>
        <v>Crevier BMW</v>
      </c>
      <c r="E387" t="str">
        <f>IF($J387="","",IFERROR(VLOOKUP($J387,KEY!$D$6:$F$76,3,FALSE),""))</f>
        <v>Orange County</v>
      </c>
      <c r="F387" t="str">
        <f>IF($J387="","",IFERROR(VLOOKUP($J387,KEY!$D$6:$F$76,2,FALSE),""))</f>
        <v>BMW</v>
      </c>
      <c r="G387" t="str">
        <f t="shared" si="139"/>
        <v>Q3 Shop 2_Crevier BMW</v>
      </c>
      <c r="H387" s="30">
        <f t="shared" si="134"/>
        <v>4</v>
      </c>
      <c r="I387" s="30">
        <f t="shared" si="135"/>
        <v>4</v>
      </c>
      <c r="J387" s="110" t="s">
        <v>90</v>
      </c>
      <c r="L387" t="s">
        <v>449</v>
      </c>
      <c r="M387" t="s">
        <v>57</v>
      </c>
      <c r="N387" t="s">
        <v>57</v>
      </c>
      <c r="O387" t="s">
        <v>57</v>
      </c>
      <c r="P387" t="s">
        <v>57</v>
      </c>
    </row>
    <row r="388" spans="1:16">
      <c r="A388" s="23" t="str">
        <f t="shared" si="137"/>
        <v>Q3 Shop 2</v>
      </c>
      <c r="B388" s="36" t="str">
        <f t="shared" ref="B388:C388" si="152">B387</f>
        <v>Q3</v>
      </c>
      <c r="C388" s="33">
        <f t="shared" si="152"/>
        <v>2</v>
      </c>
      <c r="D388" t="str">
        <f t="shared" si="132"/>
        <v>Crevier MINI</v>
      </c>
      <c r="E388" t="str">
        <f>IF($J388="","",IFERROR(VLOOKUP($J388,KEY!$D$6:$F$76,3,FALSE),""))</f>
        <v>Orange County</v>
      </c>
      <c r="F388" t="str">
        <f>IF($J388="","",IFERROR(VLOOKUP($J388,KEY!$D$6:$F$76,2,FALSE),""))</f>
        <v>MINI</v>
      </c>
      <c r="G388" t="str">
        <f t="shared" si="139"/>
        <v>Q3 Shop 2_Crevier MINI</v>
      </c>
      <c r="H388" s="30">
        <f t="shared" si="134"/>
        <v>4</v>
      </c>
      <c r="I388" s="30">
        <f t="shared" si="135"/>
        <v>4</v>
      </c>
      <c r="J388" s="110" t="s">
        <v>92</v>
      </c>
      <c r="L388" t="s">
        <v>351</v>
      </c>
      <c r="M388" t="s">
        <v>57</v>
      </c>
      <c r="N388" t="s">
        <v>57</v>
      </c>
      <c r="O388" t="s">
        <v>57</v>
      </c>
      <c r="P388" t="s">
        <v>57</v>
      </c>
    </row>
    <row r="389" spans="1:16">
      <c r="A389" s="23" t="str">
        <f t="shared" si="137"/>
        <v>Q3 Shop 2</v>
      </c>
      <c r="B389" s="36" t="str">
        <f t="shared" ref="B389:C389" si="153">B388</f>
        <v>Q3</v>
      </c>
      <c r="C389" s="33">
        <f t="shared" si="153"/>
        <v>2</v>
      </c>
      <c r="D389" t="str">
        <f t="shared" si="132"/>
        <v>Lincoln South Coast</v>
      </c>
      <c r="E389" t="str">
        <f>IF($J389="","",IFERROR(VLOOKUP($J389,KEY!$D$6:$F$76,3,FALSE),""))</f>
        <v>Orange County</v>
      </c>
      <c r="F389" t="str">
        <f>IF($J389="","",IFERROR(VLOOKUP($J389,KEY!$D$6:$F$76,2,FALSE),""))</f>
        <v>Lincoln</v>
      </c>
      <c r="G389" t="str">
        <f t="shared" si="139"/>
        <v>Q3 Shop 2_Lincoln South Coast</v>
      </c>
      <c r="H389" s="30">
        <f t="shared" si="134"/>
        <v>4</v>
      </c>
      <c r="I389" s="30">
        <f t="shared" si="135"/>
        <v>4</v>
      </c>
      <c r="J389" s="110" t="s">
        <v>128</v>
      </c>
      <c r="L389" t="s">
        <v>404</v>
      </c>
      <c r="M389" t="s">
        <v>57</v>
      </c>
      <c r="N389" t="s">
        <v>57</v>
      </c>
      <c r="O389" t="s">
        <v>57</v>
      </c>
      <c r="P389" t="s">
        <v>57</v>
      </c>
    </row>
    <row r="390" spans="1:16">
      <c r="A390" s="23" t="str">
        <f t="shared" si="137"/>
        <v>Q3 Shop 2</v>
      </c>
      <c r="B390" s="36" t="str">
        <f t="shared" ref="B390:C390" si="154">B389</f>
        <v>Q3</v>
      </c>
      <c r="C390" s="33">
        <f t="shared" si="154"/>
        <v>2</v>
      </c>
      <c r="D390" t="str">
        <f t="shared" si="132"/>
        <v>MINI of Ontario</v>
      </c>
      <c r="E390" t="str">
        <f>IF($J390="","",IFERROR(VLOOKUP($J390,KEY!$D$6:$F$76,3,FALSE),""))</f>
        <v>Orange County</v>
      </c>
      <c r="F390" t="str">
        <f>IF($J390="","",IFERROR(VLOOKUP($J390,KEY!$D$6:$F$76,2,FALSE),""))</f>
        <v>MINI</v>
      </c>
      <c r="G390" t="str">
        <f t="shared" si="139"/>
        <v>Q3 Shop 2_MINI of Ontario</v>
      </c>
      <c r="H390" s="30">
        <f t="shared" ref="H390:H421" si="155">IF($J390="","",COUNTIF($M390:$V390,"*"))</f>
        <v>4</v>
      </c>
      <c r="I390" s="30">
        <f t="shared" ref="I390:I421" si="156">IF($J390="","",COUNTIF($M390:$V390,"YES*"))</f>
        <v>4</v>
      </c>
      <c r="J390" s="110" t="s">
        <v>144</v>
      </c>
      <c r="L390" t="s">
        <v>353</v>
      </c>
      <c r="M390" t="s">
        <v>57</v>
      </c>
      <c r="N390" t="s">
        <v>57</v>
      </c>
      <c r="O390" t="s">
        <v>57</v>
      </c>
      <c r="P390" t="s">
        <v>57</v>
      </c>
    </row>
    <row r="391" spans="1:16">
      <c r="A391" s="23" t="str">
        <f t="shared" si="137"/>
        <v>Q3 Shop 2</v>
      </c>
      <c r="B391" s="36" t="str">
        <f t="shared" ref="B391:C391" si="157">B390</f>
        <v>Q3</v>
      </c>
      <c r="C391" s="33">
        <f t="shared" si="157"/>
        <v>2</v>
      </c>
      <c r="D391" t="str">
        <f t="shared" si="132"/>
        <v>Subaru Orange Coast</v>
      </c>
      <c r="E391" t="str">
        <f>IF($J391="","",IFERROR(VLOOKUP($J391,KEY!$D$6:$F$76,3,FALSE),""))</f>
        <v>Orange County</v>
      </c>
      <c r="F391" t="str">
        <f>IF($J391="","",IFERROR(VLOOKUP($J391,KEY!$D$6:$F$76,2,FALSE),""))</f>
        <v>Subaru</v>
      </c>
      <c r="G391" t="str">
        <f t="shared" si="139"/>
        <v>Q3 Shop 2_Subaru Orange Coast</v>
      </c>
      <c r="H391" s="30">
        <f t="shared" si="155"/>
        <v>4</v>
      </c>
      <c r="I391" s="30">
        <f t="shared" si="156"/>
        <v>4</v>
      </c>
      <c r="J391" s="110" t="s">
        <v>172</v>
      </c>
      <c r="L391" t="s">
        <v>450</v>
      </c>
      <c r="M391" t="s">
        <v>57</v>
      </c>
      <c r="N391" t="s">
        <v>57</v>
      </c>
      <c r="O391" t="s">
        <v>57</v>
      </c>
      <c r="P391" t="s">
        <v>57</v>
      </c>
    </row>
    <row r="392" spans="1:16">
      <c r="A392" s="23" t="str">
        <f t="shared" si="137"/>
        <v>Q3 Shop 2</v>
      </c>
      <c r="B392" s="36" t="str">
        <f t="shared" ref="B392:C392" si="158">B391</f>
        <v>Q3</v>
      </c>
      <c r="C392" s="33">
        <f t="shared" si="158"/>
        <v>2</v>
      </c>
      <c r="D392" t="str">
        <f t="shared" si="132"/>
        <v>Volkswagen South Coast</v>
      </c>
      <c r="E392" t="str">
        <f>IF($J392="","",IFERROR(VLOOKUP($J392,KEY!$D$6:$F$76,3,FALSE),""))</f>
        <v>Orange County</v>
      </c>
      <c r="F392" t="str">
        <f>IF($J392="","",IFERROR(VLOOKUP($J392,KEY!$D$6:$F$76,2,FALSE),""))</f>
        <v>Volkswagen</v>
      </c>
      <c r="G392" t="str">
        <f t="shared" si="139"/>
        <v>Q3 Shop 2_Volkswagen South Coast</v>
      </c>
      <c r="H392" s="30">
        <f t="shared" si="155"/>
        <v>4</v>
      </c>
      <c r="I392" s="30">
        <f t="shared" si="156"/>
        <v>4</v>
      </c>
      <c r="J392" s="6" t="s">
        <v>182</v>
      </c>
      <c r="L392" t="s">
        <v>451</v>
      </c>
      <c r="M392" t="s">
        <v>57</v>
      </c>
      <c r="N392" t="s">
        <v>57</v>
      </c>
      <c r="O392" t="s">
        <v>57</v>
      </c>
      <c r="P392" t="s">
        <v>57</v>
      </c>
    </row>
    <row r="393" spans="1:16">
      <c r="A393" s="23" t="str">
        <f t="shared" si="137"/>
        <v>Q3 Shop 2</v>
      </c>
      <c r="B393" s="36" t="str">
        <f t="shared" ref="B393:C393" si="159">B392</f>
        <v>Q3</v>
      </c>
      <c r="C393" s="33">
        <f t="shared" si="159"/>
        <v>2</v>
      </c>
      <c r="D393" t="str">
        <f t="shared" si="132"/>
        <v>Acura of Escondido</v>
      </c>
      <c r="E393" t="str">
        <f>IF($J393="","",IFERROR(VLOOKUP($J393,KEY!$D$6:$F$76,3,FALSE),""))</f>
        <v>Southern California</v>
      </c>
      <c r="F393" t="str">
        <f>IF($J393="","",IFERROR(VLOOKUP($J393,KEY!$D$6:$F$76,2,FALSE),""))</f>
        <v>Acura</v>
      </c>
      <c r="G393" t="str">
        <f t="shared" si="139"/>
        <v>Q3 Shop 2_Acura of Escondido</v>
      </c>
      <c r="H393" s="30">
        <f t="shared" si="155"/>
        <v>4</v>
      </c>
      <c r="I393" s="30">
        <f t="shared" si="156"/>
        <v>4</v>
      </c>
      <c r="J393" s="6" t="s">
        <v>58</v>
      </c>
      <c r="L393" t="s">
        <v>407</v>
      </c>
      <c r="M393" t="s">
        <v>57</v>
      </c>
      <c r="N393" t="s">
        <v>57</v>
      </c>
      <c r="O393" t="s">
        <v>57</v>
      </c>
      <c r="P393" t="s">
        <v>57</v>
      </c>
    </row>
    <row r="394" spans="1:16">
      <c r="A394" s="23" t="str">
        <f t="shared" si="137"/>
        <v>Q3 Shop 2</v>
      </c>
      <c r="B394" s="36" t="str">
        <f t="shared" ref="B394:C394" si="160">B393</f>
        <v>Q3</v>
      </c>
      <c r="C394" s="33">
        <f t="shared" si="160"/>
        <v>2</v>
      </c>
      <c r="D394" t="str">
        <f t="shared" si="132"/>
        <v>Audi Escondido</v>
      </c>
      <c r="E394" t="str">
        <f>IF($J394="","",IFERROR(VLOOKUP($J394,KEY!$D$6:$F$76,3,FALSE),""))</f>
        <v>Southern California</v>
      </c>
      <c r="F394" t="str">
        <f>IF($J394="","",IFERROR(VLOOKUP($J394,KEY!$D$6:$F$76,2,FALSE),""))</f>
        <v>Audi</v>
      </c>
      <c r="G394" t="str">
        <f t="shared" si="139"/>
        <v>Q3 Shop 2_Audi Escondido</v>
      </c>
      <c r="H394" s="30">
        <f t="shared" si="155"/>
        <v>4</v>
      </c>
      <c r="I394" s="30">
        <f t="shared" si="156"/>
        <v>3</v>
      </c>
      <c r="J394" s="110" t="s">
        <v>62</v>
      </c>
      <c r="L394" t="s">
        <v>357</v>
      </c>
      <c r="M394" t="s">
        <v>57</v>
      </c>
      <c r="N394" t="s">
        <v>56</v>
      </c>
      <c r="O394" t="s">
        <v>57</v>
      </c>
      <c r="P394" t="s">
        <v>57</v>
      </c>
    </row>
    <row r="395" spans="1:16">
      <c r="A395" s="23" t="str">
        <f t="shared" si="137"/>
        <v>Q3 Shop 2</v>
      </c>
      <c r="B395" s="36" t="str">
        <f t="shared" ref="B395:C395" si="161">B394</f>
        <v>Q3</v>
      </c>
      <c r="C395" s="33">
        <f t="shared" si="161"/>
        <v>2</v>
      </c>
      <c r="D395" t="str">
        <f t="shared" si="132"/>
        <v>BMW/MINI of Escondido</v>
      </c>
      <c r="E395" t="str">
        <f>IF($J395="","",IFERROR(VLOOKUP($J395,KEY!$D$6:$F$76,3,FALSE),""))</f>
        <v>Southern California</v>
      </c>
      <c r="F395" t="str">
        <f>IF($J395="","",IFERROR(VLOOKUP($J395,KEY!$D$6:$F$76,2,FALSE),""))</f>
        <v>BMW</v>
      </c>
      <c r="G395" t="str">
        <f t="shared" si="139"/>
        <v>Q3 Shop 2_BMW/MINI of Escondido</v>
      </c>
      <c r="H395" s="30">
        <f t="shared" si="155"/>
        <v>4</v>
      </c>
      <c r="I395" s="30">
        <f t="shared" si="156"/>
        <v>3</v>
      </c>
      <c r="J395" s="110" t="s">
        <v>84</v>
      </c>
      <c r="L395" t="s">
        <v>452</v>
      </c>
      <c r="M395" t="s">
        <v>57</v>
      </c>
      <c r="N395" t="s">
        <v>56</v>
      </c>
      <c r="O395" t="s">
        <v>57</v>
      </c>
      <c r="P395" t="s">
        <v>57</v>
      </c>
    </row>
    <row r="396" spans="1:16">
      <c r="A396" s="23" t="str">
        <f t="shared" si="137"/>
        <v>Q3 Shop 2</v>
      </c>
      <c r="B396" s="36" t="str">
        <f t="shared" ref="B396:C396" si="162">B395</f>
        <v>Q3</v>
      </c>
      <c r="C396" s="33">
        <f t="shared" si="162"/>
        <v>2</v>
      </c>
      <c r="D396" t="str">
        <f t="shared" si="132"/>
        <v>BMW of San Diego</v>
      </c>
      <c r="E396" t="str">
        <f>IF($J396="","",IFERROR(VLOOKUP($J396,KEY!$D$6:$F$76,3,FALSE),""))</f>
        <v>Southern California</v>
      </c>
      <c r="F396" t="str">
        <f>IF($J396="","",IFERROR(VLOOKUP($J396,KEY!$D$6:$F$76,2,FALSE),""))</f>
        <v>BMW</v>
      </c>
      <c r="G396" t="str">
        <f t="shared" si="139"/>
        <v>Q3 Shop 2_BMW of San Diego</v>
      </c>
      <c r="H396" s="30">
        <f t="shared" si="155"/>
        <v>4</v>
      </c>
      <c r="I396" s="30">
        <f t="shared" si="156"/>
        <v>3</v>
      </c>
      <c r="J396" s="110" t="s">
        <v>82</v>
      </c>
      <c r="L396" t="s">
        <v>453</v>
      </c>
      <c r="M396" t="s">
        <v>57</v>
      </c>
      <c r="N396" t="s">
        <v>56</v>
      </c>
      <c r="O396" t="s">
        <v>57</v>
      </c>
      <c r="P396" t="s">
        <v>57</v>
      </c>
    </row>
    <row r="397" spans="1:16">
      <c r="A397" s="23" t="str">
        <f t="shared" si="137"/>
        <v>Q3 Shop 2</v>
      </c>
      <c r="B397" s="36" t="str">
        <f t="shared" ref="B397:C397" si="163">B396</f>
        <v>Q3</v>
      </c>
      <c r="C397" s="33">
        <f t="shared" si="163"/>
        <v>2</v>
      </c>
      <c r="D397" t="str">
        <f t="shared" si="132"/>
        <v>Honda of Escondido</v>
      </c>
      <c r="E397" t="str">
        <f>IF($J397="","",IFERROR(VLOOKUP($J397,KEY!$D$6:$F$76,3,FALSE),""))</f>
        <v>Southern California</v>
      </c>
      <c r="F397" t="str">
        <f>IF($J397="","",IFERROR(VLOOKUP($J397,KEY!$D$6:$F$76,2,FALSE),""))</f>
        <v>Honda</v>
      </c>
      <c r="G397" t="str">
        <f t="shared" si="139"/>
        <v>Q3 Shop 2_Honda of Escondido</v>
      </c>
      <c r="H397" s="30">
        <f t="shared" si="155"/>
        <v>4</v>
      </c>
      <c r="I397" s="30">
        <f t="shared" si="156"/>
        <v>3</v>
      </c>
      <c r="J397" s="110" t="s">
        <v>104</v>
      </c>
      <c r="L397" t="s">
        <v>454</v>
      </c>
      <c r="M397" t="s">
        <v>57</v>
      </c>
      <c r="N397" t="s">
        <v>57</v>
      </c>
      <c r="O397" t="s">
        <v>57</v>
      </c>
      <c r="P397" t="s">
        <v>56</v>
      </c>
    </row>
    <row r="398" spans="1:16">
      <c r="A398" s="23" t="str">
        <f t="shared" si="137"/>
        <v>Q3 Shop 2</v>
      </c>
      <c r="B398" s="36" t="str">
        <f t="shared" ref="B398:C398" si="164">B397</f>
        <v>Q3</v>
      </c>
      <c r="C398" s="33">
        <f t="shared" si="164"/>
        <v>2</v>
      </c>
      <c r="D398" t="str">
        <f t="shared" si="132"/>
        <v>Kearny Mesa Acura</v>
      </c>
      <c r="E398" t="str">
        <f>IF($J398="","",IFERROR(VLOOKUP($J398,KEY!$D$6:$F$76,3,FALSE),""))</f>
        <v/>
      </c>
      <c r="F398" t="str">
        <f>IF($J398="","",IFERROR(VLOOKUP($J398,KEY!$D$6:$F$76,2,FALSE),""))</f>
        <v/>
      </c>
      <c r="G398" t="str">
        <f t="shared" si="139"/>
        <v>Q3 Shop 2_Kearny Mesa Acura</v>
      </c>
      <c r="H398" s="30">
        <f t="shared" si="155"/>
        <v>4</v>
      </c>
      <c r="I398" s="30">
        <f t="shared" si="156"/>
        <v>2</v>
      </c>
      <c r="J398" s="110" t="s">
        <v>110</v>
      </c>
      <c r="L398" t="s">
        <v>455</v>
      </c>
      <c r="M398" t="s">
        <v>56</v>
      </c>
      <c r="N398" t="s">
        <v>56</v>
      </c>
      <c r="O398" t="s">
        <v>57</v>
      </c>
      <c r="P398" t="s">
        <v>57</v>
      </c>
    </row>
    <row r="399" spans="1:16">
      <c r="A399" s="23" t="str">
        <f t="shared" si="137"/>
        <v>Q3 Shop 2</v>
      </c>
      <c r="B399" s="36" t="str">
        <f t="shared" ref="B399:C399" si="165">B398</f>
        <v>Q3</v>
      </c>
      <c r="C399" s="33">
        <f t="shared" si="165"/>
        <v>2</v>
      </c>
      <c r="D399" t="str">
        <f t="shared" si="132"/>
        <v>Kearny Mesa Toyota</v>
      </c>
      <c r="E399" t="str">
        <f>IF($J399="","",IFERROR(VLOOKUP($J399,KEY!$D$6:$F$76,3,FALSE),""))</f>
        <v>Southern California</v>
      </c>
      <c r="F399" t="str">
        <f>IF($J399="","",IFERROR(VLOOKUP($J399,KEY!$D$6:$F$76,2,FALSE),""))</f>
        <v>Toyota</v>
      </c>
      <c r="G399" t="str">
        <f t="shared" si="139"/>
        <v>Q3 Shop 2_Kearny Mesa Toyota</v>
      </c>
      <c r="H399" s="30">
        <f t="shared" si="155"/>
        <v>4</v>
      </c>
      <c r="I399" s="30">
        <f t="shared" si="156"/>
        <v>4</v>
      </c>
      <c r="J399" s="110" t="s">
        <v>112</v>
      </c>
      <c r="L399" t="s">
        <v>456</v>
      </c>
      <c r="M399" t="s">
        <v>57</v>
      </c>
      <c r="N399" t="s">
        <v>57</v>
      </c>
      <c r="O399" t="s">
        <v>57</v>
      </c>
      <c r="P399" t="s">
        <v>57</v>
      </c>
    </row>
    <row r="400" spans="1:16">
      <c r="A400" s="23" t="str">
        <f t="shared" si="137"/>
        <v>Q3 Shop 2</v>
      </c>
      <c r="B400" s="36" t="str">
        <f t="shared" ref="B400:C400" si="166">B399</f>
        <v>Q3</v>
      </c>
      <c r="C400" s="33">
        <f t="shared" si="166"/>
        <v>2</v>
      </c>
      <c r="D400" t="str">
        <f t="shared" si="132"/>
        <v>Lexus San Diego</v>
      </c>
      <c r="E400" t="str">
        <f>IF($J400="","",IFERROR(VLOOKUP($J400,KEY!$D$6:$F$76,3,FALSE),""))</f>
        <v>Southern California</v>
      </c>
      <c r="F400" t="str">
        <f>IF($J400="","",IFERROR(VLOOKUP($J400,KEY!$D$6:$F$76,2,FALSE),""))</f>
        <v>Lexus</v>
      </c>
      <c r="G400" t="str">
        <f t="shared" si="139"/>
        <v>Q3 Shop 2_Lexus San Diego</v>
      </c>
      <c r="H400" s="30">
        <f t="shared" si="155"/>
        <v>4</v>
      </c>
      <c r="I400" s="30">
        <f t="shared" si="156"/>
        <v>4</v>
      </c>
      <c r="J400" s="110" t="s">
        <v>126</v>
      </c>
      <c r="L400" t="s">
        <v>457</v>
      </c>
      <c r="M400" t="s">
        <v>57</v>
      </c>
      <c r="N400" t="s">
        <v>57</v>
      </c>
      <c r="O400" t="s">
        <v>57</v>
      </c>
      <c r="P400" t="s">
        <v>57</v>
      </c>
    </row>
    <row r="401" spans="1:16">
      <c r="A401" s="23" t="str">
        <f t="shared" si="137"/>
        <v>Q3 Shop 2</v>
      </c>
      <c r="B401" s="36" t="str">
        <f t="shared" ref="B401:C401" si="167">B400</f>
        <v>Q3</v>
      </c>
      <c r="C401" s="33">
        <f t="shared" si="167"/>
        <v>2</v>
      </c>
      <c r="D401" t="str">
        <f t="shared" si="132"/>
        <v>Mazda of Escondido</v>
      </c>
      <c r="E401" t="str">
        <f>IF($J401="","",IFERROR(VLOOKUP($J401,KEY!$D$6:$F$76,3,FALSE),""))</f>
        <v>Southern California</v>
      </c>
      <c r="F401" t="str">
        <f>IF($J401="","",IFERROR(VLOOKUP($J401,KEY!$D$6:$F$76,2,FALSE),""))</f>
        <v>Mazda</v>
      </c>
      <c r="G401" t="str">
        <f t="shared" si="139"/>
        <v>Q3 Shop 2_Mazda of Escondido</v>
      </c>
      <c r="H401" s="30">
        <f t="shared" si="155"/>
        <v>4</v>
      </c>
      <c r="I401" s="30">
        <f t="shared" si="156"/>
        <v>3</v>
      </c>
      <c r="J401" s="110" t="s">
        <v>130</v>
      </c>
      <c r="L401" t="s">
        <v>364</v>
      </c>
      <c r="M401" t="s">
        <v>57</v>
      </c>
      <c r="N401" t="s">
        <v>56</v>
      </c>
      <c r="O401" t="s">
        <v>57</v>
      </c>
      <c r="P401" t="s">
        <v>57</v>
      </c>
    </row>
    <row r="402" spans="1:16">
      <c r="A402" s="23" t="str">
        <f t="shared" si="137"/>
        <v>Q3 Shop 2</v>
      </c>
      <c r="B402" s="36" t="str">
        <f t="shared" ref="B402:C402" si="168">B401</f>
        <v>Q3</v>
      </c>
      <c r="C402" s="33">
        <f t="shared" si="168"/>
        <v>2</v>
      </c>
      <c r="D402" t="str">
        <f t="shared" si="132"/>
        <v>Mercedes-Benz of San Diego</v>
      </c>
      <c r="E402" t="str">
        <f>IF($J402="","",IFERROR(VLOOKUP($J402,KEY!$D$6:$F$76,3,FALSE),""))</f>
        <v>Southern California</v>
      </c>
      <c r="F402" t="str">
        <f>IF($J402="","",IFERROR(VLOOKUP($J402,KEY!$D$6:$F$76,2,FALSE),""))</f>
        <v>Mercedes-Benz</v>
      </c>
      <c r="G402" t="str">
        <f t="shared" si="139"/>
        <v>Q3 Shop 2_Mercedes-Benz of San Diego</v>
      </c>
      <c r="H402" s="30">
        <f t="shared" si="155"/>
        <v>4</v>
      </c>
      <c r="I402" s="30">
        <f t="shared" si="156"/>
        <v>4</v>
      </c>
      <c r="J402" s="110" t="s">
        <v>136</v>
      </c>
      <c r="L402" t="s">
        <v>458</v>
      </c>
      <c r="M402" t="s">
        <v>57</v>
      </c>
      <c r="N402" t="s">
        <v>57</v>
      </c>
      <c r="O402" t="s">
        <v>57</v>
      </c>
      <c r="P402" t="s">
        <v>57</v>
      </c>
    </row>
    <row r="403" spans="1:16">
      <c r="A403" s="23" t="str">
        <f t="shared" si="137"/>
        <v>Q3 Shop 2</v>
      </c>
      <c r="B403" s="36" t="str">
        <f t="shared" ref="B403:C403" si="169">B402</f>
        <v>Q3</v>
      </c>
      <c r="C403" s="33">
        <f t="shared" si="169"/>
        <v>2</v>
      </c>
      <c r="D403" t="str">
        <f t="shared" si="132"/>
        <v>MINI of San Diego</v>
      </c>
      <c r="E403" t="str">
        <f>IF($J403="","",IFERROR(VLOOKUP($J403,KEY!$D$6:$F$76,3,FALSE),""))</f>
        <v>Southern California</v>
      </c>
      <c r="F403" t="str">
        <f>IF($J403="","",IFERROR(VLOOKUP($J403,KEY!$D$6:$F$76,2,FALSE),""))</f>
        <v>MINI</v>
      </c>
      <c r="G403" t="str">
        <f t="shared" si="139"/>
        <v>Q3 Shop 2_MINI of San Diego</v>
      </c>
      <c r="H403" s="30">
        <f t="shared" si="155"/>
        <v>4</v>
      </c>
      <c r="I403" s="30">
        <f t="shared" si="156"/>
        <v>4</v>
      </c>
      <c r="J403" s="110" t="s">
        <v>146</v>
      </c>
      <c r="L403" t="s">
        <v>366</v>
      </c>
      <c r="M403" t="s">
        <v>57</v>
      </c>
      <c r="N403" t="s">
        <v>57</v>
      </c>
      <c r="O403" t="s">
        <v>57</v>
      </c>
      <c r="P403" t="s">
        <v>57</v>
      </c>
    </row>
    <row r="404" spans="1:16">
      <c r="A404" s="23" t="str">
        <f t="shared" si="137"/>
        <v>Q3 Shop 2</v>
      </c>
      <c r="B404" s="36" t="str">
        <f t="shared" ref="B404:C404" si="170">B403</f>
        <v>Q3</v>
      </c>
      <c r="C404" s="33">
        <f t="shared" si="170"/>
        <v>2</v>
      </c>
      <c r="D404" t="str">
        <f t="shared" si="132"/>
        <v>BMW of Austin</v>
      </c>
      <c r="E404" t="str">
        <f>IF($J404="","",IFERROR(VLOOKUP($J404,KEY!$D$6:$F$76,3,FALSE),""))</f>
        <v>Texas</v>
      </c>
      <c r="F404" t="str">
        <f>IF($J404="","",IFERROR(VLOOKUP($J404,KEY!$D$6:$F$76,2,FALSE),""))</f>
        <v>BMW</v>
      </c>
      <c r="G404" t="str">
        <f t="shared" si="139"/>
        <v>Q3 Shop 2_BMW of Austin</v>
      </c>
      <c r="H404" s="30">
        <f t="shared" si="155"/>
        <v>4</v>
      </c>
      <c r="I404" s="30">
        <f t="shared" si="156"/>
        <v>4</v>
      </c>
      <c r="J404" s="110" t="s">
        <v>76</v>
      </c>
      <c r="L404" t="s">
        <v>415</v>
      </c>
      <c r="M404" t="s">
        <v>57</v>
      </c>
      <c r="N404" t="s">
        <v>57</v>
      </c>
      <c r="O404" t="s">
        <v>57</v>
      </c>
      <c r="P404" t="s">
        <v>57</v>
      </c>
    </row>
    <row r="405" spans="1:16">
      <c r="A405" s="23" t="str">
        <f t="shared" si="137"/>
        <v>Q3 Shop 2</v>
      </c>
      <c r="B405" s="36" t="str">
        <f t="shared" ref="B405:C405" si="171">B404</f>
        <v>Q3</v>
      </c>
      <c r="C405" s="33">
        <f t="shared" si="171"/>
        <v>2</v>
      </c>
      <c r="D405" t="str">
        <f t="shared" si="132"/>
        <v>Genesis of Round Rock</v>
      </c>
      <c r="E405" t="str">
        <f>IF($J405="","",IFERROR(VLOOKUP($J405,KEY!$D$6:$F$76,3,FALSE),""))</f>
        <v>Texas</v>
      </c>
      <c r="F405" t="str">
        <f>IF($J405="","",IFERROR(VLOOKUP($J405,KEY!$D$6:$F$76,2,FALSE),""))</f>
        <v>Genesis</v>
      </c>
      <c r="G405" t="str">
        <f t="shared" si="139"/>
        <v>Q3 Shop 2_Genesis of Round Rock</v>
      </c>
      <c r="H405" s="30">
        <f t="shared" si="155"/>
        <v>4</v>
      </c>
      <c r="I405" s="30">
        <f t="shared" si="156"/>
        <v>4</v>
      </c>
      <c r="J405" s="110" t="s">
        <v>98</v>
      </c>
      <c r="L405" t="s">
        <v>459</v>
      </c>
      <c r="M405" t="s">
        <v>57</v>
      </c>
      <c r="N405" t="s">
        <v>57</v>
      </c>
      <c r="O405" t="s">
        <v>57</v>
      </c>
      <c r="P405" t="s">
        <v>57</v>
      </c>
    </row>
    <row r="406" spans="1:16">
      <c r="A406" s="23" t="str">
        <f t="shared" si="137"/>
        <v>Q3 Shop 2</v>
      </c>
      <c r="B406" s="36" t="str">
        <f t="shared" ref="B406:C406" si="172">B405</f>
        <v>Q3</v>
      </c>
      <c r="C406" s="33">
        <f t="shared" si="172"/>
        <v>2</v>
      </c>
      <c r="D406" t="str">
        <f t="shared" si="132"/>
        <v>Honda Leander</v>
      </c>
      <c r="E406" t="str">
        <f>IF($J406="","",IFERROR(VLOOKUP($J406,KEY!$D$6:$F$76,3,FALSE),""))</f>
        <v>Texas</v>
      </c>
      <c r="F406" t="str">
        <f>IF($J406="","",IFERROR(VLOOKUP($J406,KEY!$D$6:$F$76,2,FALSE),""))</f>
        <v>Honda</v>
      </c>
      <c r="G406" t="str">
        <f t="shared" si="139"/>
        <v>Q3 Shop 2_Honda Leander</v>
      </c>
      <c r="H406" s="30">
        <f t="shared" si="155"/>
        <v>4</v>
      </c>
      <c r="I406" s="30">
        <f t="shared" si="156"/>
        <v>4</v>
      </c>
      <c r="J406" s="110" t="s">
        <v>100</v>
      </c>
      <c r="L406" t="s">
        <v>460</v>
      </c>
      <c r="M406" t="s">
        <v>57</v>
      </c>
      <c r="N406" t="s">
        <v>57</v>
      </c>
      <c r="O406" t="s">
        <v>57</v>
      </c>
      <c r="P406" t="s">
        <v>57</v>
      </c>
    </row>
    <row r="407" spans="1:16">
      <c r="A407" s="23" t="str">
        <f t="shared" si="137"/>
        <v>Q3 Shop 2</v>
      </c>
      <c r="B407" s="36" t="str">
        <f t="shared" ref="B407:C407" si="173">B406</f>
        <v>Q3</v>
      </c>
      <c r="C407" s="33">
        <f t="shared" si="173"/>
        <v>2</v>
      </c>
      <c r="D407" t="str">
        <f t="shared" si="132"/>
        <v>Hyundai of Leander</v>
      </c>
      <c r="E407" t="str">
        <f>IF($J407="","",IFERROR(VLOOKUP($J407,KEY!$D$6:$F$76,3,FALSE),""))</f>
        <v>Texas</v>
      </c>
      <c r="F407" t="str">
        <f>IF($J407="","",IFERROR(VLOOKUP($J407,KEY!$D$6:$F$76,2,FALSE),""))</f>
        <v>Hyundai</v>
      </c>
      <c r="G407" t="str">
        <f t="shared" si="139"/>
        <v>Q3 Shop 2_Hyundai of Leander</v>
      </c>
      <c r="H407" s="30">
        <f t="shared" si="155"/>
        <v>4</v>
      </c>
      <c r="I407" s="30">
        <f t="shared" si="156"/>
        <v>3</v>
      </c>
      <c r="J407" s="110" t="s">
        <v>417</v>
      </c>
      <c r="L407" t="s">
        <v>461</v>
      </c>
      <c r="M407" t="s">
        <v>57</v>
      </c>
      <c r="N407" t="s">
        <v>56</v>
      </c>
      <c r="O407" t="s">
        <v>57</v>
      </c>
      <c r="P407" t="s">
        <v>57</v>
      </c>
    </row>
    <row r="408" spans="1:16">
      <c r="A408" s="23" t="str">
        <f t="shared" si="137"/>
        <v>Q3 Shop 2</v>
      </c>
      <c r="B408" s="36" t="str">
        <f t="shared" ref="B408:C408" si="174">B407</f>
        <v>Q3</v>
      </c>
      <c r="C408" s="33">
        <f t="shared" si="174"/>
        <v>2</v>
      </c>
      <c r="D408" t="str">
        <f t="shared" si="132"/>
        <v>Hyundai of Pharr</v>
      </c>
      <c r="E408" t="str">
        <f>IF($J408="","",IFERROR(VLOOKUP($J408,KEY!$D$6:$F$76,3,FALSE),""))</f>
        <v>Texas</v>
      </c>
      <c r="F408" t="str">
        <f>IF($J408="","",IFERROR(VLOOKUP($J408,KEY!$D$6:$F$76,2,FALSE),""))</f>
        <v>Hyundai</v>
      </c>
      <c r="G408" t="str">
        <f t="shared" si="139"/>
        <v>Q3 Shop 2_Hyundai of Pharr</v>
      </c>
      <c r="H408" s="30">
        <f t="shared" si="155"/>
        <v>4</v>
      </c>
      <c r="I408" s="30">
        <f t="shared" si="156"/>
        <v>4</v>
      </c>
      <c r="J408" s="110" t="s">
        <v>108</v>
      </c>
      <c r="L408" t="s">
        <v>370</v>
      </c>
      <c r="M408" t="s">
        <v>57</v>
      </c>
      <c r="N408" t="s">
        <v>57</v>
      </c>
      <c r="O408" t="s">
        <v>57</v>
      </c>
      <c r="P408" t="s">
        <v>57</v>
      </c>
    </row>
    <row r="409" spans="1:16">
      <c r="A409" s="23" t="str">
        <f t="shared" si="137"/>
        <v>Q3 Shop 2</v>
      </c>
      <c r="B409" s="36" t="str">
        <f t="shared" ref="B409:C409" si="175">B408</f>
        <v>Q3</v>
      </c>
      <c r="C409" s="33">
        <f t="shared" si="175"/>
        <v>2</v>
      </c>
      <c r="D409" t="str">
        <f t="shared" si="132"/>
        <v>Lexus of Austin</v>
      </c>
      <c r="E409" t="str">
        <f>IF($J409="","",IFERROR(VLOOKUP($J409,KEY!$D$6:$F$76,3,FALSE),""))</f>
        <v>Texas</v>
      </c>
      <c r="F409" t="str">
        <f>IF($J409="","",IFERROR(VLOOKUP($J409,KEY!$D$6:$F$76,2,FALSE),""))</f>
        <v>Lexus</v>
      </c>
      <c r="G409" t="str">
        <f t="shared" si="139"/>
        <v>Q3 Shop 2_Lexus of Austin</v>
      </c>
      <c r="H409" s="30">
        <f t="shared" si="155"/>
        <v>4</v>
      </c>
      <c r="I409" s="30">
        <f t="shared" si="156"/>
        <v>3</v>
      </c>
      <c r="J409" s="110" t="s">
        <v>120</v>
      </c>
      <c r="L409" t="s">
        <v>462</v>
      </c>
      <c r="M409" t="s">
        <v>57</v>
      </c>
      <c r="N409" t="s">
        <v>56</v>
      </c>
      <c r="O409" t="s">
        <v>57</v>
      </c>
      <c r="P409" t="s">
        <v>57</v>
      </c>
    </row>
    <row r="410" spans="1:16">
      <c r="A410" s="23" t="str">
        <f t="shared" si="137"/>
        <v>Q3 Shop 2</v>
      </c>
      <c r="B410" s="36" t="str">
        <f t="shared" ref="B410:C410" si="176">B409</f>
        <v>Q3</v>
      </c>
      <c r="C410" s="33">
        <f t="shared" si="176"/>
        <v>2</v>
      </c>
      <c r="D410" t="str">
        <f t="shared" si="132"/>
        <v>Lexus of Lakeway</v>
      </c>
      <c r="E410" t="str">
        <f>IF($J410="","",IFERROR(VLOOKUP($J410,KEY!$D$6:$F$76,3,FALSE),""))</f>
        <v>Texas</v>
      </c>
      <c r="F410" t="str">
        <f>IF($J410="","",IFERROR(VLOOKUP($J410,KEY!$D$6:$F$76,2,FALSE),""))</f>
        <v>Lexus</v>
      </c>
      <c r="G410" t="str">
        <f t="shared" si="139"/>
        <v>Q3 Shop 2_Lexus of Lakeway</v>
      </c>
      <c r="H410" s="30">
        <f t="shared" si="155"/>
        <v>4</v>
      </c>
      <c r="I410" s="30">
        <f t="shared" si="156"/>
        <v>3</v>
      </c>
      <c r="J410" s="110" t="s">
        <v>124</v>
      </c>
      <c r="L410" t="s">
        <v>463</v>
      </c>
      <c r="M410" t="s">
        <v>57</v>
      </c>
      <c r="N410" t="s">
        <v>57</v>
      </c>
      <c r="O410" t="s">
        <v>56</v>
      </c>
      <c r="P410" t="s">
        <v>57</v>
      </c>
    </row>
    <row r="411" spans="1:16">
      <c r="A411" s="23" t="str">
        <f t="shared" si="137"/>
        <v>Q3 Shop 2</v>
      </c>
      <c r="B411" s="36" t="str">
        <f t="shared" ref="B411:C411" si="177">B410</f>
        <v>Q3</v>
      </c>
      <c r="C411" s="33">
        <f t="shared" si="177"/>
        <v>2</v>
      </c>
      <c r="D411" t="str">
        <f t="shared" si="132"/>
        <v>MINI of Austin</v>
      </c>
      <c r="E411" t="str">
        <f>IF($J411="","",IFERROR(VLOOKUP($J411,KEY!$D$6:$F$76,3,FALSE),""))</f>
        <v>Texas</v>
      </c>
      <c r="F411" t="str">
        <f>IF($J411="","",IFERROR(VLOOKUP($J411,KEY!$D$6:$F$76,2,FALSE),""))</f>
        <v>MINI</v>
      </c>
      <c r="G411" t="str">
        <f t="shared" si="139"/>
        <v>Q3 Shop 2_MINI of Austin</v>
      </c>
      <c r="H411" s="30">
        <f t="shared" si="155"/>
        <v>4</v>
      </c>
      <c r="I411" s="30">
        <f t="shared" si="156"/>
        <v>4</v>
      </c>
      <c r="J411" s="110" t="s">
        <v>140</v>
      </c>
      <c r="L411" t="s">
        <v>373</v>
      </c>
      <c r="M411" t="s">
        <v>57</v>
      </c>
      <c r="N411" t="s">
        <v>57</v>
      </c>
      <c r="O411" t="s">
        <v>57</v>
      </c>
      <c r="P411" t="s">
        <v>57</v>
      </c>
    </row>
    <row r="412" spans="1:16">
      <c r="A412" s="23" t="str">
        <f t="shared" si="137"/>
        <v>Q3 Shop 2</v>
      </c>
      <c r="B412" s="36" t="str">
        <f t="shared" ref="B412:C412" si="178">B411</f>
        <v>Q3</v>
      </c>
      <c r="C412" s="33">
        <f t="shared" si="178"/>
        <v>2</v>
      </c>
      <c r="D412" t="str">
        <f t="shared" si="132"/>
        <v>Round Rock Honda</v>
      </c>
      <c r="E412" t="str">
        <f>IF($J412="","",IFERROR(VLOOKUP($J412,KEY!$D$6:$F$76,3,FALSE),""))</f>
        <v>Texas</v>
      </c>
      <c r="F412" t="str">
        <f>IF($J412="","",IFERROR(VLOOKUP($J412,KEY!$D$6:$F$76,2,FALSE),""))</f>
        <v>Honda</v>
      </c>
      <c r="G412" t="str">
        <f t="shared" si="139"/>
        <v>Q3 Shop 2_Round Rock Honda</v>
      </c>
      <c r="H412" s="30">
        <f t="shared" si="155"/>
        <v>4</v>
      </c>
      <c r="I412" s="30">
        <f t="shared" si="156"/>
        <v>3</v>
      </c>
      <c r="J412" s="110" t="s">
        <v>164</v>
      </c>
      <c r="L412" t="s">
        <v>464</v>
      </c>
      <c r="M412" t="s">
        <v>57</v>
      </c>
      <c r="N412" t="s">
        <v>56</v>
      </c>
      <c r="O412" t="s">
        <v>57</v>
      </c>
      <c r="P412" t="s">
        <v>57</v>
      </c>
    </row>
    <row r="413" spans="1:16">
      <c r="A413" s="23" t="str">
        <f t="shared" si="137"/>
        <v>Q3 Shop 2</v>
      </c>
      <c r="B413" s="36" t="str">
        <f t="shared" ref="B413:C413" si="179">B412</f>
        <v>Q3</v>
      </c>
      <c r="C413" s="33">
        <f t="shared" si="179"/>
        <v>2</v>
      </c>
      <c r="D413" t="str">
        <f t="shared" si="132"/>
        <v>Round Rock Hyundai</v>
      </c>
      <c r="E413" t="str">
        <f>IF($J413="","",IFERROR(VLOOKUP($J413,KEY!$D$6:$F$76,3,FALSE),""))</f>
        <v>Texas</v>
      </c>
      <c r="F413" t="str">
        <f>IF($J413="","",IFERROR(VLOOKUP($J413,KEY!$D$6:$F$76,2,FALSE),""))</f>
        <v>Hyundai</v>
      </c>
      <c r="G413" t="str">
        <f t="shared" si="139"/>
        <v>Q3 Shop 2_Round Rock Hyundai</v>
      </c>
      <c r="H413" s="30">
        <f t="shared" si="155"/>
        <v>4</v>
      </c>
      <c r="I413" s="30">
        <f t="shared" si="156"/>
        <v>3</v>
      </c>
      <c r="J413" s="110" t="s">
        <v>166</v>
      </c>
      <c r="L413" t="s">
        <v>465</v>
      </c>
      <c r="M413" t="s">
        <v>57</v>
      </c>
      <c r="N413" t="s">
        <v>57</v>
      </c>
      <c r="O413" t="s">
        <v>57</v>
      </c>
      <c r="P413" t="s">
        <v>56</v>
      </c>
    </row>
    <row r="414" spans="1:16">
      <c r="A414" s="23" t="str">
        <f t="shared" si="137"/>
        <v>Q3 Shop 2</v>
      </c>
      <c r="B414" s="36" t="str">
        <f t="shared" ref="B414:C414" si="180">B413</f>
        <v>Q3</v>
      </c>
      <c r="C414" s="33">
        <f t="shared" si="180"/>
        <v>2</v>
      </c>
      <c r="D414" t="str">
        <f t="shared" si="132"/>
        <v>Round Rock Toyota</v>
      </c>
      <c r="E414" t="str">
        <f>IF($J414="","",IFERROR(VLOOKUP($J414,KEY!$D$6:$F$76,3,FALSE),""))</f>
        <v>Texas</v>
      </c>
      <c r="F414" t="str">
        <f>IF($J414="","",IFERROR(VLOOKUP($J414,KEY!$D$6:$F$76,2,FALSE),""))</f>
        <v>Toyota</v>
      </c>
      <c r="G414" t="str">
        <f t="shared" si="139"/>
        <v>Q3 Shop 2_Round Rock Toyota</v>
      </c>
      <c r="H414" s="30">
        <f t="shared" si="155"/>
        <v>4</v>
      </c>
      <c r="I414" s="30">
        <f t="shared" si="156"/>
        <v>3</v>
      </c>
      <c r="J414" s="110" t="s">
        <v>168</v>
      </c>
      <c r="L414" t="s">
        <v>466</v>
      </c>
      <c r="M414" t="s">
        <v>57</v>
      </c>
      <c r="N414" t="s">
        <v>56</v>
      </c>
      <c r="O414" t="s">
        <v>57</v>
      </c>
      <c r="P414" t="s">
        <v>57</v>
      </c>
    </row>
    <row r="415" spans="1:16">
      <c r="A415" s="23" t="str">
        <f t="shared" si="137"/>
        <v>Q3 Shop 2</v>
      </c>
      <c r="B415" s="36" t="str">
        <f t="shared" ref="B415:C415" si="181">B414</f>
        <v>Q3</v>
      </c>
      <c r="C415" s="33">
        <f t="shared" si="181"/>
        <v>2</v>
      </c>
      <c r="D415" t="str">
        <f t="shared" si="132"/>
        <v>BMW of Bloomfield Hills</v>
      </c>
      <c r="E415" t="str">
        <f>IF($J415="","",IFERROR(VLOOKUP($J415,KEY!$D$6:$F$76,3,FALSE),""))</f>
        <v>Michigan &amp; Minnesota</v>
      </c>
      <c r="F415" t="str">
        <f>IF($J415="","",IFERROR(VLOOKUP($J415,KEY!$D$6:$F$76,2,FALSE),""))</f>
        <v>BMW</v>
      </c>
      <c r="G415" t="str">
        <f t="shared" si="139"/>
        <v>Q3 Shop 2_BMW of Bloomfield Hills</v>
      </c>
      <c r="H415" s="30">
        <f t="shared" si="155"/>
        <v>4</v>
      </c>
      <c r="I415" s="30">
        <f t="shared" si="156"/>
        <v>2</v>
      </c>
      <c r="J415" s="110" t="s">
        <v>78</v>
      </c>
      <c r="L415" t="s">
        <v>467</v>
      </c>
      <c r="M415" t="s">
        <v>56</v>
      </c>
      <c r="N415" t="s">
        <v>57</v>
      </c>
      <c r="O415" t="s">
        <v>57</v>
      </c>
      <c r="P415" t="s">
        <v>56</v>
      </c>
    </row>
    <row r="416" spans="1:16">
      <c r="A416" s="23" t="str">
        <f t="shared" si="137"/>
        <v>Q3 Shop 2</v>
      </c>
      <c r="B416" s="36" t="str">
        <f t="shared" ref="B416:C416" si="182">B415</f>
        <v>Q3</v>
      </c>
      <c r="C416" s="33">
        <f t="shared" si="182"/>
        <v>2</v>
      </c>
      <c r="D416" t="str">
        <f t="shared" si="132"/>
        <v>East Madison Toyota</v>
      </c>
      <c r="E416" t="str">
        <f>IF($J416="","",IFERROR(VLOOKUP($J416,KEY!$D$6:$F$76,3,FALSE),""))</f>
        <v>Wisconsin</v>
      </c>
      <c r="F416" t="str">
        <f>IF($J416="","",IFERROR(VLOOKUP($J416,KEY!$D$6:$F$76,2,FALSE),""))</f>
        <v>Toyota</v>
      </c>
      <c r="G416" t="str">
        <f t="shared" si="139"/>
        <v>Q3 Shop 2_East Madison Toyota</v>
      </c>
      <c r="H416" s="30">
        <f t="shared" si="155"/>
        <v>4</v>
      </c>
      <c r="I416" s="30">
        <f t="shared" si="156"/>
        <v>3</v>
      </c>
      <c r="J416" s="110" t="s">
        <v>94</v>
      </c>
      <c r="L416" t="s">
        <v>424</v>
      </c>
      <c r="M416" t="s">
        <v>57</v>
      </c>
      <c r="N416" t="s">
        <v>57</v>
      </c>
      <c r="O416" t="s">
        <v>56</v>
      </c>
      <c r="P416" t="s">
        <v>57</v>
      </c>
    </row>
    <row r="417" spans="1:22">
      <c r="A417" s="23" t="str">
        <f t="shared" si="137"/>
        <v>Q3 Shop 2</v>
      </c>
      <c r="B417" s="36" t="str">
        <f t="shared" ref="B417:C417" si="183">B416</f>
        <v>Q3</v>
      </c>
      <c r="C417" s="33">
        <f t="shared" si="183"/>
        <v>2</v>
      </c>
      <c r="D417" t="str">
        <f t="shared" si="132"/>
        <v>Genesis of Noblesville</v>
      </c>
      <c r="E417" t="str">
        <f>IF($J417="","",IFERROR(VLOOKUP($J417,KEY!$D$6:$F$76,3,FALSE),""))</f>
        <v/>
      </c>
      <c r="F417" t="str">
        <f>IF($J417="","",IFERROR(VLOOKUP($J417,KEY!$D$6:$F$76,2,FALSE),""))</f>
        <v/>
      </c>
      <c r="G417" t="str">
        <f t="shared" si="139"/>
        <v>Q3 Shop 2_Genesis of Noblesville</v>
      </c>
      <c r="H417" s="30">
        <f t="shared" si="155"/>
        <v>4</v>
      </c>
      <c r="I417" s="30">
        <f t="shared" si="156"/>
        <v>2</v>
      </c>
      <c r="J417" s="110" t="s">
        <v>96</v>
      </c>
      <c r="L417" t="s">
        <v>468</v>
      </c>
      <c r="M417" t="s">
        <v>57</v>
      </c>
      <c r="N417" t="s">
        <v>56</v>
      </c>
      <c r="O417" t="s">
        <v>57</v>
      </c>
      <c r="P417" t="s">
        <v>56</v>
      </c>
    </row>
    <row r="418" spans="1:22">
      <c r="A418" s="23" t="str">
        <f t="shared" si="137"/>
        <v>Q3 Shop 2</v>
      </c>
      <c r="B418" s="36" t="str">
        <f t="shared" ref="B418:C418" si="184">B417</f>
        <v>Q3</v>
      </c>
      <c r="C418" s="33">
        <f t="shared" si="184"/>
        <v>2</v>
      </c>
      <c r="D418" t="str">
        <f t="shared" si="132"/>
        <v>Hyundai of Noblesville</v>
      </c>
      <c r="E418" t="str">
        <f>IF($J418="","",IFERROR(VLOOKUP($J418,KEY!$D$6:$F$76,3,FALSE),""))</f>
        <v/>
      </c>
      <c r="F418" t="str">
        <f>IF($J418="","",IFERROR(VLOOKUP($J418,KEY!$D$6:$F$76,2,FALSE),""))</f>
        <v/>
      </c>
      <c r="G418" t="str">
        <f t="shared" si="139"/>
        <v>Q3 Shop 2_Hyundai of Noblesville</v>
      </c>
      <c r="H418" s="30">
        <f t="shared" si="155"/>
        <v>4</v>
      </c>
      <c r="I418" s="30">
        <f t="shared" si="156"/>
        <v>2</v>
      </c>
      <c r="J418" s="110" t="s">
        <v>106</v>
      </c>
      <c r="L418" t="s">
        <v>469</v>
      </c>
      <c r="M418" t="s">
        <v>56</v>
      </c>
      <c r="N418" t="s">
        <v>56</v>
      </c>
      <c r="O418" t="s">
        <v>57</v>
      </c>
      <c r="P418" t="s">
        <v>57</v>
      </c>
    </row>
    <row r="419" spans="1:22">
      <c r="A419" s="23" t="str">
        <f t="shared" si="137"/>
        <v>Q3 Shop 2</v>
      </c>
      <c r="B419" s="36" t="str">
        <f t="shared" ref="B419:C419" si="185">B418</f>
        <v>Q3</v>
      </c>
      <c r="C419" s="33">
        <f t="shared" si="185"/>
        <v>2</v>
      </c>
      <c r="D419" t="str">
        <f t="shared" si="132"/>
        <v>Motorwerks BMW</v>
      </c>
      <c r="E419" t="str">
        <f>IF($J419="","",IFERROR(VLOOKUP($J419,KEY!$D$6:$F$76,3,FALSE),""))</f>
        <v>Michigan &amp; Minnesota</v>
      </c>
      <c r="F419" t="str">
        <f>IF($J419="","",IFERROR(VLOOKUP($J419,KEY!$D$6:$F$76,2,FALSE),""))</f>
        <v>BMW</v>
      </c>
      <c r="G419" t="str">
        <f t="shared" si="139"/>
        <v>Q3 Shop 2_Motorwerks BMW</v>
      </c>
      <c r="H419" s="30">
        <f t="shared" si="155"/>
        <v>4</v>
      </c>
      <c r="I419" s="30">
        <f t="shared" si="156"/>
        <v>3</v>
      </c>
      <c r="J419" s="110" t="s">
        <v>150</v>
      </c>
      <c r="L419" t="s">
        <v>470</v>
      </c>
      <c r="M419" t="s">
        <v>57</v>
      </c>
      <c r="N419" t="s">
        <v>56</v>
      </c>
      <c r="O419" t="s">
        <v>57</v>
      </c>
      <c r="P419" t="s">
        <v>57</v>
      </c>
    </row>
    <row r="420" spans="1:22">
      <c r="A420" s="23" t="str">
        <f t="shared" si="137"/>
        <v>Q3 Shop 2</v>
      </c>
      <c r="B420" s="36" t="str">
        <f t="shared" ref="B420:C420" si="186">B419</f>
        <v>Q3</v>
      </c>
      <c r="C420" s="33">
        <f t="shared" si="186"/>
        <v>2</v>
      </c>
      <c r="D420" t="str">
        <f t="shared" si="132"/>
        <v>Motorwerks MINI</v>
      </c>
      <c r="E420" t="str">
        <f>IF($J420="","",IFERROR(VLOOKUP($J420,KEY!$D$6:$F$76,3,FALSE),""))</f>
        <v>Michigan &amp; Minnesota</v>
      </c>
      <c r="F420" t="str">
        <f>IF($J420="","",IFERROR(VLOOKUP($J420,KEY!$D$6:$F$76,2,FALSE),""))</f>
        <v>MINI</v>
      </c>
      <c r="G420" t="str">
        <f t="shared" si="139"/>
        <v>Q3 Shop 2_Motorwerks MINI</v>
      </c>
      <c r="H420" s="30">
        <f t="shared" si="155"/>
        <v>4</v>
      </c>
      <c r="I420" s="30">
        <f t="shared" si="156"/>
        <v>4</v>
      </c>
      <c r="J420" s="110" t="s">
        <v>152</v>
      </c>
      <c r="L420" t="s">
        <v>341</v>
      </c>
      <c r="M420" t="s">
        <v>57</v>
      </c>
      <c r="N420" t="s">
        <v>57</v>
      </c>
      <c r="O420" t="s">
        <v>57</v>
      </c>
      <c r="P420" t="s">
        <v>57</v>
      </c>
    </row>
    <row r="421" spans="1:22">
      <c r="A421" s="23" t="str">
        <f t="shared" si="137"/>
        <v>Q3 Shop 2</v>
      </c>
      <c r="B421" s="36" t="str">
        <f t="shared" ref="B421:C421" si="187">B420</f>
        <v>Q3</v>
      </c>
      <c r="C421" s="33">
        <f t="shared" si="187"/>
        <v>2</v>
      </c>
      <c r="D421" t="str">
        <f t="shared" si="132"/>
        <v>Penske Honda</v>
      </c>
      <c r="E421" t="str">
        <f>IF($J421="","",IFERROR(VLOOKUP($J421,KEY!$D$6:$F$76,3,FALSE),""))</f>
        <v>Indiana</v>
      </c>
      <c r="F421" t="str">
        <f>IF($J421="","",IFERROR(VLOOKUP($J421,KEY!$D$6:$F$76,2,FALSE),""))</f>
        <v>Honda</v>
      </c>
      <c r="G421" t="str">
        <f t="shared" si="139"/>
        <v>Q3 Shop 2_Penske Honda</v>
      </c>
      <c r="H421" s="30">
        <f t="shared" si="155"/>
        <v>4</v>
      </c>
      <c r="I421" s="30">
        <f t="shared" si="156"/>
        <v>3</v>
      </c>
      <c r="J421" s="110" t="s">
        <v>156</v>
      </c>
      <c r="L421" t="s">
        <v>471</v>
      </c>
      <c r="M421" t="s">
        <v>57</v>
      </c>
      <c r="N421" t="s">
        <v>56</v>
      </c>
      <c r="O421" t="s">
        <v>57</v>
      </c>
      <c r="P421" t="s">
        <v>57</v>
      </c>
    </row>
    <row r="422" spans="1:22">
      <c r="A422" s="23" t="str">
        <f t="shared" si="137"/>
        <v>Q3 Shop 2</v>
      </c>
      <c r="B422" s="36" t="str">
        <f t="shared" ref="B422:C422" si="188">B421</f>
        <v>Q3</v>
      </c>
      <c r="C422" s="33">
        <f t="shared" si="188"/>
        <v>2</v>
      </c>
      <c r="D422" t="str">
        <f t="shared" si="132"/>
        <v>Penske Chevrolet</v>
      </c>
      <c r="E422" t="str">
        <f>IF($J422="","",IFERROR(VLOOKUP($J422,KEY!$D$6:$F$76,3,FALSE),""))</f>
        <v>Indiana</v>
      </c>
      <c r="F422" t="str">
        <f>IF($J422="","",IFERROR(VLOOKUP($J422,KEY!$D$6:$F$76,2,FALSE),""))</f>
        <v>Chevrolet</v>
      </c>
      <c r="G422" t="str">
        <f t="shared" si="139"/>
        <v>Q3 Shop 2_Penske Chevrolet</v>
      </c>
      <c r="H422" s="30">
        <f t="shared" ref="H422:H427" si="189">IF($J422="","",COUNTIF($M422:$V422,"*"))</f>
        <v>4</v>
      </c>
      <c r="I422" s="30">
        <f t="shared" ref="I422:I427" si="190">IF($J422="","",COUNTIF($M422:$V422,"YES*"))</f>
        <v>4</v>
      </c>
      <c r="J422" s="110" t="s">
        <v>154</v>
      </c>
      <c r="L422" t="s">
        <v>472</v>
      </c>
      <c r="M422" t="s">
        <v>57</v>
      </c>
      <c r="N422" t="s">
        <v>57</v>
      </c>
      <c r="O422" t="s">
        <v>57</v>
      </c>
      <c r="P422" t="s">
        <v>57</v>
      </c>
    </row>
    <row r="423" spans="1:22">
      <c r="A423" s="23" t="str">
        <f t="shared" si="137"/>
        <v>Q3 Shop 2</v>
      </c>
      <c r="B423" s="36" t="str">
        <f t="shared" ref="B423:C423" si="191">B422</f>
        <v>Q3</v>
      </c>
      <c r="C423" s="33">
        <f t="shared" si="191"/>
        <v>2</v>
      </c>
      <c r="D423" t="str">
        <f t="shared" si="132"/>
        <v/>
      </c>
      <c r="E423" t="str">
        <f>IF($J423="","",IFERROR(VLOOKUP($J423,KEY!$D$6:$F$76,3,FALSE),""))</f>
        <v/>
      </c>
      <c r="F423" t="str">
        <f>IF($J423="","",IFERROR(VLOOKUP($J423,KEY!$D$6:$F$76,2,FALSE),""))</f>
        <v/>
      </c>
      <c r="G423" t="str">
        <f t="shared" si="139"/>
        <v/>
      </c>
      <c r="H423" s="30" t="str">
        <f t="shared" si="189"/>
        <v/>
      </c>
      <c r="I423" s="30" t="str">
        <f t="shared" si="190"/>
        <v/>
      </c>
      <c r="J423" s="110"/>
    </row>
    <row r="424" spans="1:22">
      <c r="A424" s="23" t="str">
        <f t="shared" si="137"/>
        <v>Q3 Shop 2</v>
      </c>
      <c r="B424" s="36" t="str">
        <f t="shared" ref="B424:C424" si="192">B423</f>
        <v>Q3</v>
      </c>
      <c r="C424" s="33">
        <f t="shared" si="192"/>
        <v>2</v>
      </c>
      <c r="D424" t="str">
        <f t="shared" si="132"/>
        <v/>
      </c>
      <c r="E424" t="str">
        <f>IF($J424="","",IFERROR(VLOOKUP($J424,KEY!$D$6:$F$76,3,FALSE),""))</f>
        <v/>
      </c>
      <c r="F424" t="str">
        <f>IF($J424="","",IFERROR(VLOOKUP($J424,KEY!$D$6:$F$76,2,FALSE),""))</f>
        <v/>
      </c>
      <c r="G424" t="str">
        <f t="shared" si="139"/>
        <v/>
      </c>
      <c r="H424" s="30" t="str">
        <f t="shared" si="189"/>
        <v/>
      </c>
      <c r="I424" s="30" t="str">
        <f t="shared" si="190"/>
        <v/>
      </c>
      <c r="J424" s="110"/>
    </row>
    <row r="425" spans="1:22">
      <c r="A425" s="23" t="str">
        <f t="shared" si="137"/>
        <v>Q3 Shop 2</v>
      </c>
      <c r="B425" s="36" t="str">
        <f t="shared" ref="B425:C425" si="193">B424</f>
        <v>Q3</v>
      </c>
      <c r="C425" s="33">
        <f t="shared" si="193"/>
        <v>2</v>
      </c>
      <c r="D425" t="str">
        <f t="shared" si="132"/>
        <v/>
      </c>
      <c r="E425" t="str">
        <f>IF($J425="","",IFERROR(VLOOKUP($J425,KEY!$D$6:$F$76,3,FALSE),""))</f>
        <v/>
      </c>
      <c r="F425" t="str">
        <f>IF($J425="","",IFERROR(VLOOKUP($J425,KEY!$D$6:$F$76,2,FALSE),""))</f>
        <v/>
      </c>
      <c r="G425" t="str">
        <f t="shared" si="139"/>
        <v/>
      </c>
      <c r="H425" s="30" t="str">
        <f t="shared" si="189"/>
        <v/>
      </c>
      <c r="I425" s="30" t="str">
        <f t="shared" si="190"/>
        <v/>
      </c>
      <c r="J425" s="110"/>
    </row>
    <row r="426" spans="1:22">
      <c r="A426" s="23" t="str">
        <f t="shared" si="137"/>
        <v>Q3 Shop 2</v>
      </c>
      <c r="B426" s="36" t="str">
        <f t="shared" ref="B426:C426" si="194">B425</f>
        <v>Q3</v>
      </c>
      <c r="C426" s="33">
        <f t="shared" si="194"/>
        <v>2</v>
      </c>
      <c r="D426" t="str">
        <f t="shared" si="132"/>
        <v/>
      </c>
      <c r="E426" t="str">
        <f>IF($J426="","",IFERROR(VLOOKUP($J426,KEY!$D$6:$F$76,3,FALSE),""))</f>
        <v/>
      </c>
      <c r="F426" t="str">
        <f>IF($J426="","",IFERROR(VLOOKUP($J426,KEY!$D$6:$F$76,2,FALSE),""))</f>
        <v/>
      </c>
      <c r="G426" t="str">
        <f t="shared" si="139"/>
        <v/>
      </c>
      <c r="H426" s="30" t="str">
        <f t="shared" si="189"/>
        <v/>
      </c>
      <c r="I426" s="30" t="str">
        <f t="shared" si="190"/>
        <v/>
      </c>
      <c r="J426" s="110"/>
    </row>
    <row r="427" spans="1:22">
      <c r="A427" s="23" t="str">
        <f t="shared" si="131"/>
        <v>Q3 Shop 2</v>
      </c>
      <c r="B427" s="36" t="str">
        <f t="shared" ref="B427:C427" si="195">B426</f>
        <v>Q3</v>
      </c>
      <c r="C427" s="33">
        <f t="shared" si="195"/>
        <v>2</v>
      </c>
      <c r="D427" t="str">
        <f t="shared" si="132"/>
        <v/>
      </c>
      <c r="E427" t="str">
        <f>IF($J427="","",IFERROR(VLOOKUP($J427,KEY!$D$6:$F$76,3,FALSE),""))</f>
        <v/>
      </c>
      <c r="F427" t="str">
        <f>IF($J427="","",IFERROR(VLOOKUP($J427,KEY!$D$6:$F$76,2,FALSE),""))</f>
        <v/>
      </c>
      <c r="G427" t="str">
        <f t="shared" si="133"/>
        <v/>
      </c>
      <c r="H427" s="30" t="str">
        <f t="shared" si="189"/>
        <v/>
      </c>
      <c r="I427" s="30" t="str">
        <f t="shared" si="190"/>
        <v/>
      </c>
      <c r="J427" s="110"/>
    </row>
    <row r="428" spans="1:22" ht="8.1" customHeight="1">
      <c r="A428" s="32"/>
      <c r="B428" s="37"/>
      <c r="C428" s="38"/>
      <c r="D428" s="32"/>
      <c r="E428" s="32"/>
      <c r="F428" s="32"/>
      <c r="G428" s="32" t="str">
        <f>A428&amp;"_"&amp;D428</f>
        <v>_</v>
      </c>
      <c r="H428" s="32"/>
      <c r="I428" s="32"/>
      <c r="J428" s="111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</row>
    <row r="429" spans="1:22">
      <c r="A429" s="23" t="str">
        <f t="shared" ref="A429:A498" si="196">B429&amp;" Shop "&amp;C429</f>
        <v>Q4 Shop 1</v>
      </c>
      <c r="B429" s="36" t="s">
        <v>473</v>
      </c>
      <c r="C429" s="33">
        <v>1</v>
      </c>
      <c r="D429" t="str">
        <f t="shared" ref="D429:D498" si="197">IF($J429="","",$J429)</f>
        <v>Acura North Scottsdale</v>
      </c>
      <c r="E429" t="str">
        <f>IF($J429="","",IFERROR(VLOOKUP($J429,KEY!$D$6:$F$76,3,FALSE),""))</f>
        <v>Arizona</v>
      </c>
      <c r="F429" t="str">
        <f>IF($J429="","",IFERROR(VLOOKUP($J429,KEY!$D$6:$F$76,2,FALSE),""))</f>
        <v>Acura</v>
      </c>
      <c r="G429" t="str">
        <f t="shared" ref="G429:G498" si="198">IF($J429="","",A429&amp;"_"&amp;D429)</f>
        <v>Q4 Shop 1_Acura North Scottsdale</v>
      </c>
      <c r="H429" s="30">
        <f t="shared" ref="H429:H460" si="199">IF($J429="","",COUNTIF($M429:$V429,"*"))</f>
        <v>4</v>
      </c>
      <c r="I429" s="30">
        <f t="shared" ref="I429:I460" si="200">IF($J429="","",COUNTIF($M429:$V429,"YES*"))</f>
        <v>4</v>
      </c>
      <c r="J429" s="110" t="s">
        <v>35</v>
      </c>
      <c r="L429" t="s">
        <v>313</v>
      </c>
      <c r="M429" t="s">
        <v>57</v>
      </c>
      <c r="N429" t="s">
        <v>57</v>
      </c>
      <c r="O429" t="s">
        <v>57</v>
      </c>
      <c r="P429" t="s">
        <v>57</v>
      </c>
    </row>
    <row r="430" spans="1:22">
      <c r="A430" s="23" t="str">
        <f t="shared" si="196"/>
        <v>Q4 Shop 1</v>
      </c>
      <c r="B430" s="36" t="str">
        <f t="shared" ref="B430:C430" si="201">B429</f>
        <v>Q4</v>
      </c>
      <c r="C430" s="33">
        <f t="shared" si="201"/>
        <v>1</v>
      </c>
      <c r="D430" t="str">
        <f t="shared" si="197"/>
        <v>Audi Chandler</v>
      </c>
      <c r="E430" t="str">
        <f>IF($J430="","",IFERROR(VLOOKUP($J430,KEY!$D$6:$F$76,3,FALSE),""))</f>
        <v>Arizona</v>
      </c>
      <c r="F430" t="str">
        <f>IF($J430="","",IFERROR(VLOOKUP($J430,KEY!$D$6:$F$76,2,FALSE),""))</f>
        <v>Audi</v>
      </c>
      <c r="G430" t="str">
        <f t="shared" si="198"/>
        <v>Q4 Shop 1_Audi Chandler</v>
      </c>
      <c r="H430" s="30">
        <f t="shared" si="199"/>
        <v>4</v>
      </c>
      <c r="I430" s="30">
        <f t="shared" si="200"/>
        <v>4</v>
      </c>
      <c r="J430" s="110" t="s">
        <v>60</v>
      </c>
      <c r="L430" t="s">
        <v>474</v>
      </c>
      <c r="M430" t="s">
        <v>57</v>
      </c>
      <c r="N430" t="s">
        <v>57</v>
      </c>
      <c r="O430" t="s">
        <v>57</v>
      </c>
      <c r="P430" t="s">
        <v>57</v>
      </c>
    </row>
    <row r="431" spans="1:22">
      <c r="A431" s="23" t="str">
        <f t="shared" si="196"/>
        <v>Q4 Shop 1</v>
      </c>
      <c r="B431" s="36" t="str">
        <f t="shared" ref="B431:C431" si="202">B430</f>
        <v>Q4</v>
      </c>
      <c r="C431" s="33">
        <f t="shared" si="202"/>
        <v>1</v>
      </c>
      <c r="D431" t="str">
        <f t="shared" si="197"/>
        <v>Audi North Scottsdale</v>
      </c>
      <c r="E431" t="str">
        <f>IF($J431="","",IFERROR(VLOOKUP($J431,KEY!$D$6:$F$76,3,FALSE),""))</f>
        <v>Arizona</v>
      </c>
      <c r="F431" t="str">
        <f>IF($J431="","",IFERROR(VLOOKUP($J431,KEY!$D$6:$F$76,2,FALSE),""))</f>
        <v>Audi</v>
      </c>
      <c r="G431" t="str">
        <f t="shared" si="198"/>
        <v>Q4 Shop 1_Audi North Scottsdale</v>
      </c>
      <c r="H431" s="30">
        <f t="shared" si="199"/>
        <v>4</v>
      </c>
      <c r="I431" s="30">
        <f t="shared" si="200"/>
        <v>4</v>
      </c>
      <c r="J431" s="110" t="s">
        <v>66</v>
      </c>
      <c r="L431" t="s">
        <v>475</v>
      </c>
      <c r="M431" t="s">
        <v>57</v>
      </c>
      <c r="N431" t="s">
        <v>57</v>
      </c>
      <c r="O431" t="s">
        <v>57</v>
      </c>
      <c r="P431" t="s">
        <v>57</v>
      </c>
    </row>
    <row r="432" spans="1:22">
      <c r="A432" s="23" t="str">
        <f t="shared" si="196"/>
        <v>Q4 Shop 1</v>
      </c>
      <c r="B432" s="36" t="str">
        <f t="shared" ref="B432:C432" si="203">B431</f>
        <v>Q4</v>
      </c>
      <c r="C432" s="33">
        <f t="shared" si="203"/>
        <v>1</v>
      </c>
      <c r="D432" t="str">
        <f t="shared" si="197"/>
        <v>Bentley Scottsdale</v>
      </c>
      <c r="E432" t="str">
        <f>IF($J432="","",IFERROR(VLOOKUP($J432,KEY!$D$6:$F$76,3,FALSE),""))</f>
        <v>Arizona</v>
      </c>
      <c r="F432" t="str">
        <f>IF($J432="","",IFERROR(VLOOKUP($J432,KEY!$D$6:$F$76,2,FALSE),""))</f>
        <v>Ultra</v>
      </c>
      <c r="G432" t="str">
        <f t="shared" si="198"/>
        <v>Q4 Shop 1_Bentley Scottsdale</v>
      </c>
      <c r="H432" s="30">
        <f t="shared" si="199"/>
        <v>4</v>
      </c>
      <c r="I432" s="30">
        <f t="shared" si="200"/>
        <v>2</v>
      </c>
      <c r="J432" s="110" t="s">
        <v>72</v>
      </c>
      <c r="L432" t="s">
        <v>431</v>
      </c>
      <c r="M432" t="s">
        <v>56</v>
      </c>
      <c r="N432" t="s">
        <v>56</v>
      </c>
      <c r="O432" t="s">
        <v>57</v>
      </c>
      <c r="P432" t="s">
        <v>57</v>
      </c>
    </row>
    <row r="433" spans="1:16">
      <c r="A433" s="23" t="str">
        <f t="shared" si="196"/>
        <v>Q4 Shop 1</v>
      </c>
      <c r="B433" s="36" t="str">
        <f t="shared" ref="B433:C433" si="204">B432</f>
        <v>Q4</v>
      </c>
      <c r="C433" s="33">
        <f t="shared" si="204"/>
        <v>1</v>
      </c>
      <c r="D433" t="str">
        <f t="shared" si="197"/>
        <v>BMW North Scottsdale</v>
      </c>
      <c r="E433" t="str">
        <f>IF($J433="","",IFERROR(VLOOKUP($J433,KEY!$D$6:$F$76,3,FALSE),""))</f>
        <v>Arizona</v>
      </c>
      <c r="F433" t="str">
        <f>IF($J433="","",IFERROR(VLOOKUP($J433,KEY!$D$6:$F$76,2,FALSE),""))</f>
        <v>BMW</v>
      </c>
      <c r="G433" t="str">
        <f t="shared" si="198"/>
        <v>Q4 Shop 1_BMW North Scottsdale</v>
      </c>
      <c r="H433" s="30">
        <f t="shared" si="199"/>
        <v>4</v>
      </c>
      <c r="I433" s="30">
        <f t="shared" si="200"/>
        <v>4</v>
      </c>
      <c r="J433" s="110" t="s">
        <v>74</v>
      </c>
      <c r="L433" t="s">
        <v>476</v>
      </c>
      <c r="M433" t="s">
        <v>57</v>
      </c>
      <c r="N433" t="s">
        <v>57</v>
      </c>
      <c r="O433" t="s">
        <v>57</v>
      </c>
      <c r="P433" t="s">
        <v>57</v>
      </c>
    </row>
    <row r="434" spans="1:16">
      <c r="A434" s="23" t="str">
        <f t="shared" si="196"/>
        <v>Q4 Shop 1</v>
      </c>
      <c r="B434" s="36" t="str">
        <f t="shared" ref="B434:C434" si="205">B433</f>
        <v>Q4</v>
      </c>
      <c r="C434" s="33">
        <f t="shared" si="205"/>
        <v>1</v>
      </c>
      <c r="D434" t="str">
        <f t="shared" si="197"/>
        <v>Lamborghini North Scottsdale</v>
      </c>
      <c r="E434" t="str">
        <f>IF($J434="","",IFERROR(VLOOKUP($J434,KEY!$D$6:$F$76,3,FALSE),""))</f>
        <v>Arizona</v>
      </c>
      <c r="F434" t="str">
        <f>IF($J434="","",IFERROR(VLOOKUP($J434,KEY!$D$6:$F$76,2,FALSE),""))</f>
        <v>Ultra</v>
      </c>
      <c r="G434" t="str">
        <f t="shared" si="198"/>
        <v>Q4 Shop 1_Lamborghini North Scottsdale</v>
      </c>
      <c r="H434" s="30">
        <f t="shared" si="199"/>
        <v>4</v>
      </c>
      <c r="I434" s="30">
        <f t="shared" si="200"/>
        <v>4</v>
      </c>
      <c r="J434" s="110" t="s">
        <v>114</v>
      </c>
      <c r="L434" t="s">
        <v>380</v>
      </c>
      <c r="M434" t="s">
        <v>57</v>
      </c>
      <c r="N434" t="s">
        <v>57</v>
      </c>
      <c r="O434" t="s">
        <v>57</v>
      </c>
      <c r="P434" t="s">
        <v>57</v>
      </c>
    </row>
    <row r="435" spans="1:16">
      <c r="A435" s="23" t="str">
        <f t="shared" si="196"/>
        <v>Q4 Shop 1</v>
      </c>
      <c r="B435" s="36" t="str">
        <f t="shared" ref="B435:C435" si="206">B434</f>
        <v>Q4</v>
      </c>
      <c r="C435" s="33">
        <f t="shared" si="206"/>
        <v>1</v>
      </c>
      <c r="D435" t="str">
        <f t="shared" si="197"/>
        <v>Land Rover Chandler</v>
      </c>
      <c r="E435" t="str">
        <f>IF($J435="","",IFERROR(VLOOKUP($J435,KEY!$D$6:$F$76,3,FALSE),""))</f>
        <v>Arizona</v>
      </c>
      <c r="F435" t="str">
        <f>IF($J435="","",IFERROR(VLOOKUP($J435,KEY!$D$6:$F$76,2,FALSE),""))</f>
        <v>LR</v>
      </c>
      <c r="G435" t="str">
        <f t="shared" si="198"/>
        <v>Q4 Shop 1_Land Rover Chandler</v>
      </c>
      <c r="H435" s="30">
        <f t="shared" si="199"/>
        <v>4</v>
      </c>
      <c r="I435" s="30">
        <f t="shared" si="200"/>
        <v>4</v>
      </c>
      <c r="J435" s="110" t="s">
        <v>116</v>
      </c>
      <c r="L435" t="s">
        <v>381</v>
      </c>
      <c r="M435" t="s">
        <v>57</v>
      </c>
      <c r="N435" t="s">
        <v>57</v>
      </c>
      <c r="O435" t="s">
        <v>57</v>
      </c>
      <c r="P435" t="s">
        <v>57</v>
      </c>
    </row>
    <row r="436" spans="1:16">
      <c r="A436" s="23" t="str">
        <f t="shared" si="196"/>
        <v>Q4 Shop 1</v>
      </c>
      <c r="B436" s="36" t="str">
        <f t="shared" ref="B436:C436" si="207">B435</f>
        <v>Q4</v>
      </c>
      <c r="C436" s="33">
        <f t="shared" si="207"/>
        <v>1</v>
      </c>
      <c r="D436" t="str">
        <f t="shared" si="197"/>
        <v>Land Rover North Scottsdale</v>
      </c>
      <c r="E436" t="str">
        <f>IF($J436="","",IFERROR(VLOOKUP($J436,KEY!$D$6:$F$76,3,FALSE),""))</f>
        <v>Arizona</v>
      </c>
      <c r="F436" t="str">
        <f>IF($J436="","",IFERROR(VLOOKUP($J436,KEY!$D$6:$F$76,2,FALSE),""))</f>
        <v>LR</v>
      </c>
      <c r="G436" t="str">
        <f t="shared" si="198"/>
        <v>Q4 Shop 1_Land Rover North Scottsdale</v>
      </c>
      <c r="H436" s="30">
        <f t="shared" si="199"/>
        <v>4</v>
      </c>
      <c r="I436" s="30">
        <f t="shared" si="200"/>
        <v>4</v>
      </c>
      <c r="J436" s="110" t="s">
        <v>118</v>
      </c>
      <c r="L436" t="s">
        <v>477</v>
      </c>
      <c r="M436" t="s">
        <v>57</v>
      </c>
      <c r="N436" t="s">
        <v>57</v>
      </c>
      <c r="O436" t="s">
        <v>57</v>
      </c>
      <c r="P436" t="s">
        <v>57</v>
      </c>
    </row>
    <row r="437" spans="1:16">
      <c r="A437" s="23" t="str">
        <f t="shared" si="196"/>
        <v>Q4 Shop 1</v>
      </c>
      <c r="B437" s="36" t="str">
        <f t="shared" ref="B437:C437" si="208">B436</f>
        <v>Q4</v>
      </c>
      <c r="C437" s="33">
        <f t="shared" si="208"/>
        <v>1</v>
      </c>
      <c r="D437" t="str">
        <f t="shared" si="197"/>
        <v>Lexus of Chandler</v>
      </c>
      <c r="E437" t="str">
        <f>IF($J437="","",IFERROR(VLOOKUP($J437,KEY!$D$6:$F$76,3,FALSE),""))</f>
        <v>Arizona</v>
      </c>
      <c r="F437" t="str">
        <f>IF($J437="","",IFERROR(VLOOKUP($J437,KEY!$D$6:$F$76,2,FALSE),""))</f>
        <v>Lexus</v>
      </c>
      <c r="G437" t="str">
        <f t="shared" si="198"/>
        <v>Q4 Shop 1_Lexus of Chandler</v>
      </c>
      <c r="H437" s="30">
        <f t="shared" si="199"/>
        <v>4</v>
      </c>
      <c r="I437" s="30">
        <f t="shared" si="200"/>
        <v>3</v>
      </c>
      <c r="J437" s="110" t="s">
        <v>122</v>
      </c>
      <c r="L437" t="s">
        <v>478</v>
      </c>
      <c r="M437" t="s">
        <v>57</v>
      </c>
      <c r="N437" t="s">
        <v>56</v>
      </c>
      <c r="O437" t="s">
        <v>57</v>
      </c>
      <c r="P437" t="s">
        <v>57</v>
      </c>
    </row>
    <row r="438" spans="1:16">
      <c r="A438" s="23" t="str">
        <f t="shared" si="196"/>
        <v>Q4 Shop 1</v>
      </c>
      <c r="B438" s="36" t="str">
        <f t="shared" ref="B438:C438" si="209">B437</f>
        <v>Q4</v>
      </c>
      <c r="C438" s="33">
        <f t="shared" si="209"/>
        <v>1</v>
      </c>
      <c r="D438" t="str">
        <f t="shared" si="197"/>
        <v>Mercedes-Benz of Chandler</v>
      </c>
      <c r="E438" t="str">
        <f>IF($J438="","",IFERROR(VLOOKUP($J438,KEY!$D$6:$F$76,3,FALSE),""))</f>
        <v>Arizona</v>
      </c>
      <c r="F438" t="str">
        <f>IF($J438="","",IFERROR(VLOOKUP($J438,KEY!$D$6:$F$76,2,FALSE),""))</f>
        <v>Mercedes-Benz</v>
      </c>
      <c r="G438" t="str">
        <f t="shared" si="198"/>
        <v>Q4 Shop 1_Mercedes-Benz of Chandler</v>
      </c>
      <c r="H438" s="30">
        <f t="shared" si="199"/>
        <v>4</v>
      </c>
      <c r="I438" s="30">
        <f t="shared" si="200"/>
        <v>4</v>
      </c>
      <c r="J438" s="110" t="s">
        <v>132</v>
      </c>
      <c r="L438" t="s">
        <v>479</v>
      </c>
      <c r="M438" t="s">
        <v>57</v>
      </c>
      <c r="N438" t="s">
        <v>57</v>
      </c>
      <c r="O438" t="s">
        <v>57</v>
      </c>
      <c r="P438" t="s">
        <v>57</v>
      </c>
    </row>
    <row r="439" spans="1:16">
      <c r="A439" s="23" t="str">
        <f t="shared" si="196"/>
        <v>Q4 Shop 1</v>
      </c>
      <c r="B439" s="36" t="str">
        <f t="shared" ref="B439:C439" si="210">B438</f>
        <v>Q4</v>
      </c>
      <c r="C439" s="33">
        <f t="shared" si="210"/>
        <v>1</v>
      </c>
      <c r="D439" t="str">
        <f t="shared" si="197"/>
        <v>Mercedes-Benz of North Scottsdale</v>
      </c>
      <c r="E439" t="str">
        <f>IF($J439="","",IFERROR(VLOOKUP($J439,KEY!$D$6:$F$76,3,FALSE),""))</f>
        <v>Arizona</v>
      </c>
      <c r="F439" t="str">
        <f>IF($J439="","",IFERROR(VLOOKUP($J439,KEY!$D$6:$F$76,2,FALSE),""))</f>
        <v>Mercedes-Benz</v>
      </c>
      <c r="G439" t="str">
        <f t="shared" si="198"/>
        <v>Q4 Shop 1_Mercedes-Benz of North Scottsdale</v>
      </c>
      <c r="H439" s="30">
        <f t="shared" si="199"/>
        <v>4</v>
      </c>
      <c r="I439" s="30">
        <f t="shared" si="200"/>
        <v>4</v>
      </c>
      <c r="J439" s="110" t="s">
        <v>134</v>
      </c>
      <c r="L439" t="s">
        <v>480</v>
      </c>
      <c r="M439" t="s">
        <v>57</v>
      </c>
      <c r="N439" t="s">
        <v>57</v>
      </c>
      <c r="O439" t="s">
        <v>57</v>
      </c>
      <c r="P439" t="s">
        <v>57</v>
      </c>
    </row>
    <row r="440" spans="1:16">
      <c r="A440" s="23" t="str">
        <f t="shared" ref="A440:A494" si="211">B440&amp;" Shop "&amp;C440</f>
        <v>Q4 Shop 1</v>
      </c>
      <c r="B440" s="36" t="str">
        <f t="shared" ref="B440:C440" si="212">B439</f>
        <v>Q4</v>
      </c>
      <c r="C440" s="33">
        <f t="shared" si="212"/>
        <v>1</v>
      </c>
      <c r="D440" t="str">
        <f t="shared" si="197"/>
        <v>MINI North Scottsdale</v>
      </c>
      <c r="E440" t="str">
        <f>IF($J440="","",IFERROR(VLOOKUP($J440,KEY!$D$6:$F$76,3,FALSE),""))</f>
        <v>Arizona</v>
      </c>
      <c r="F440" t="str">
        <f>IF($J440="","",IFERROR(VLOOKUP($J440,KEY!$D$6:$F$76,2,FALSE),""))</f>
        <v>MINI</v>
      </c>
      <c r="G440" t="str">
        <f t="shared" ref="G440:G494" si="213">IF($J440="","",A440&amp;"_"&amp;D440)</f>
        <v>Q4 Shop 1_MINI North Scottsdale</v>
      </c>
      <c r="H440" s="30">
        <f t="shared" si="199"/>
        <v>4</v>
      </c>
      <c r="I440" s="30">
        <f t="shared" si="200"/>
        <v>4</v>
      </c>
      <c r="J440" s="110" t="s">
        <v>138</v>
      </c>
      <c r="L440" t="s">
        <v>324</v>
      </c>
      <c r="M440" t="s">
        <v>57</v>
      </c>
      <c r="N440" t="s">
        <v>57</v>
      </c>
      <c r="O440" t="s">
        <v>57</v>
      </c>
      <c r="P440" t="s">
        <v>57</v>
      </c>
    </row>
    <row r="441" spans="1:16">
      <c r="A441" s="23" t="str">
        <f t="shared" si="211"/>
        <v>Q4 Shop 1</v>
      </c>
      <c r="B441" s="36" t="str">
        <f t="shared" ref="B441:C441" si="214">B440</f>
        <v>Q4</v>
      </c>
      <c r="C441" s="33">
        <f t="shared" si="214"/>
        <v>1</v>
      </c>
      <c r="D441" t="str">
        <f t="shared" si="197"/>
        <v>MINI of Tempe</v>
      </c>
      <c r="E441" t="str">
        <f>IF($J441="","",IFERROR(VLOOKUP($J441,KEY!$D$6:$F$76,3,FALSE),""))</f>
        <v>Arizona</v>
      </c>
      <c r="F441" t="str">
        <f>IF($J441="","",IFERROR(VLOOKUP($J441,KEY!$D$6:$F$76,2,FALSE),""))</f>
        <v>MINI</v>
      </c>
      <c r="G441" t="str">
        <f t="shared" si="213"/>
        <v>Q4 Shop 1_MINI of Tempe</v>
      </c>
      <c r="H441" s="30">
        <f t="shared" si="199"/>
        <v>4</v>
      </c>
      <c r="I441" s="30">
        <f t="shared" si="200"/>
        <v>4</v>
      </c>
      <c r="J441" s="110" t="s">
        <v>148</v>
      </c>
      <c r="L441" t="s">
        <v>437</v>
      </c>
      <c r="M441" t="s">
        <v>57</v>
      </c>
      <c r="N441" t="s">
        <v>57</v>
      </c>
      <c r="O441" t="s">
        <v>57</v>
      </c>
      <c r="P441" t="s">
        <v>57</v>
      </c>
    </row>
    <row r="442" spans="1:16">
      <c r="A442" s="23" t="str">
        <f t="shared" si="211"/>
        <v>Q4 Shop 1</v>
      </c>
      <c r="B442" s="36" t="str">
        <f t="shared" ref="B442:C442" si="215">B441</f>
        <v>Q4</v>
      </c>
      <c r="C442" s="33">
        <f t="shared" si="215"/>
        <v>1</v>
      </c>
      <c r="D442" t="str">
        <f t="shared" si="197"/>
        <v>Porsche North Scottsdale</v>
      </c>
      <c r="E442" t="str">
        <f>IF($J442="","",IFERROR(VLOOKUP($J442,KEY!$D$6:$F$76,3,FALSE),""))</f>
        <v>Arizona</v>
      </c>
      <c r="F442" t="str">
        <f>IF($J442="","",IFERROR(VLOOKUP($J442,KEY!$D$6:$F$76,2,FALSE),""))</f>
        <v>Porsche</v>
      </c>
      <c r="G442" t="str">
        <f t="shared" si="213"/>
        <v>Q4 Shop 1_Porsche North Scottsdale</v>
      </c>
      <c r="H442" s="30">
        <f t="shared" si="199"/>
        <v>4</v>
      </c>
      <c r="I442" s="30">
        <f t="shared" si="200"/>
        <v>3</v>
      </c>
      <c r="J442" s="110" t="s">
        <v>160</v>
      </c>
      <c r="L442" t="s">
        <v>481</v>
      </c>
      <c r="M442" t="s">
        <v>57</v>
      </c>
      <c r="N442" t="s">
        <v>56</v>
      </c>
      <c r="O442" t="s">
        <v>57</v>
      </c>
      <c r="P442" t="s">
        <v>57</v>
      </c>
    </row>
    <row r="443" spans="1:16">
      <c r="A443" s="23" t="str">
        <f t="shared" si="211"/>
        <v>Q4 Shop 1</v>
      </c>
      <c r="B443" s="36" t="str">
        <f t="shared" ref="B443:C443" si="216">B442</f>
        <v>Q4</v>
      </c>
      <c r="C443" s="33">
        <f t="shared" si="216"/>
        <v>1</v>
      </c>
      <c r="D443" t="str">
        <f t="shared" si="197"/>
        <v>Scottsdale Ferrari Maserati</v>
      </c>
      <c r="E443" t="str">
        <f>IF($J443="","",IFERROR(VLOOKUP($J443,KEY!$D$6:$F$76,3,FALSE),""))</f>
        <v>Arizona</v>
      </c>
      <c r="F443" t="str">
        <f>IF($J443="","",IFERROR(VLOOKUP($J443,KEY!$D$6:$F$76,2,FALSE),""))</f>
        <v>Ultra</v>
      </c>
      <c r="G443" t="str">
        <f t="shared" si="213"/>
        <v>Q4 Shop 1_Scottsdale Ferrari Maserati</v>
      </c>
      <c r="H443" s="30">
        <f t="shared" si="199"/>
        <v>4</v>
      </c>
      <c r="I443" s="30">
        <f t="shared" si="200"/>
        <v>0</v>
      </c>
      <c r="J443" s="110" t="s">
        <v>170</v>
      </c>
      <c r="L443" t="s">
        <v>388</v>
      </c>
      <c r="M443" t="s">
        <v>56</v>
      </c>
      <c r="N443" t="s">
        <v>56</v>
      </c>
      <c r="O443" t="s">
        <v>56</v>
      </c>
      <c r="P443" t="s">
        <v>56</v>
      </c>
    </row>
    <row r="444" spans="1:16">
      <c r="A444" s="23" t="str">
        <f t="shared" si="211"/>
        <v>Q4 Shop 1</v>
      </c>
      <c r="B444" s="36" t="str">
        <f t="shared" ref="B444:C444" si="217">B443</f>
        <v>Q4</v>
      </c>
      <c r="C444" s="33">
        <f t="shared" si="217"/>
        <v>1</v>
      </c>
      <c r="D444" t="str">
        <f t="shared" si="197"/>
        <v>Tempe Honda</v>
      </c>
      <c r="E444" t="str">
        <f>IF($J444="","",IFERROR(VLOOKUP($J444,KEY!$D$6:$F$76,3,FALSE),""))</f>
        <v>Arizona</v>
      </c>
      <c r="F444" t="str">
        <f>IF($J444="","",IFERROR(VLOOKUP($J444,KEY!$D$6:$F$76,2,FALSE),""))</f>
        <v>Honda</v>
      </c>
      <c r="G444" t="str">
        <f t="shared" si="213"/>
        <v>Q4 Shop 1_Tempe Honda</v>
      </c>
      <c r="H444" s="30">
        <f t="shared" si="199"/>
        <v>4</v>
      </c>
      <c r="I444" s="30">
        <f t="shared" si="200"/>
        <v>4</v>
      </c>
      <c r="J444" s="110" t="s">
        <v>174</v>
      </c>
      <c r="L444" t="s">
        <v>482</v>
      </c>
      <c r="M444" t="s">
        <v>57</v>
      </c>
      <c r="N444" t="s">
        <v>57</v>
      </c>
      <c r="O444" t="s">
        <v>57</v>
      </c>
      <c r="P444" t="s">
        <v>57</v>
      </c>
    </row>
    <row r="445" spans="1:16">
      <c r="A445" s="23" t="str">
        <f t="shared" si="211"/>
        <v>Q4 Shop 1</v>
      </c>
      <c r="B445" s="36" t="str">
        <f t="shared" ref="B445:C445" si="218">B444</f>
        <v>Q4</v>
      </c>
      <c r="C445" s="33">
        <f t="shared" si="218"/>
        <v>1</v>
      </c>
      <c r="D445" t="str">
        <f t="shared" si="197"/>
        <v>Toyota of Surprise</v>
      </c>
      <c r="E445" t="str">
        <f>IF($J445="","",IFERROR(VLOOKUP($J445,KEY!$D$6:$F$76,3,FALSE),""))</f>
        <v>Arizona</v>
      </c>
      <c r="F445" t="str">
        <f>IF($J445="","",IFERROR(VLOOKUP($J445,KEY!$D$6:$F$76,2,FALSE),""))</f>
        <v>Toyota</v>
      </c>
      <c r="G445" t="str">
        <f t="shared" si="213"/>
        <v>Q4 Shop 1_Toyota of Surprise</v>
      </c>
      <c r="H445" s="30">
        <f t="shared" si="199"/>
        <v>4</v>
      </c>
      <c r="I445" s="30">
        <f t="shared" si="200"/>
        <v>4</v>
      </c>
      <c r="J445" s="110" t="s">
        <v>178</v>
      </c>
      <c r="L445" t="s">
        <v>483</v>
      </c>
      <c r="M445" t="s">
        <v>57</v>
      </c>
      <c r="N445" t="s">
        <v>57</v>
      </c>
      <c r="O445" t="s">
        <v>57</v>
      </c>
      <c r="P445" t="s">
        <v>57</v>
      </c>
    </row>
    <row r="446" spans="1:16">
      <c r="A446" s="23" t="str">
        <f t="shared" si="211"/>
        <v>Q4 Shop 1</v>
      </c>
      <c r="B446" s="36" t="str">
        <f t="shared" ref="B446:C446" si="219">B445</f>
        <v>Q4</v>
      </c>
      <c r="C446" s="33">
        <f t="shared" si="219"/>
        <v>1</v>
      </c>
      <c r="D446" t="str">
        <f t="shared" si="197"/>
        <v>Volkswagen North Scottsdale</v>
      </c>
      <c r="E446" t="str">
        <f>IF($J446="","",IFERROR(VLOOKUP($J446,KEY!$D$6:$F$76,3,FALSE),""))</f>
        <v>Arizona</v>
      </c>
      <c r="F446" t="str">
        <f>IF($J446="","",IFERROR(VLOOKUP($J446,KEY!$D$6:$F$76,2,FALSE),""))</f>
        <v>Volkswagen</v>
      </c>
      <c r="G446" t="str">
        <f t="shared" si="213"/>
        <v>Q4 Shop 1_Volkswagen North Scottsdale</v>
      </c>
      <c r="H446" s="30">
        <f t="shared" si="199"/>
        <v>4</v>
      </c>
      <c r="I446" s="30">
        <f t="shared" si="200"/>
        <v>4</v>
      </c>
      <c r="J446" s="110" t="s">
        <v>180</v>
      </c>
      <c r="L446" t="s">
        <v>330</v>
      </c>
      <c r="M446" t="s">
        <v>57</v>
      </c>
      <c r="N446" t="s">
        <v>57</v>
      </c>
      <c r="O446" t="s">
        <v>57</v>
      </c>
      <c r="P446" t="s">
        <v>57</v>
      </c>
    </row>
    <row r="447" spans="1:16">
      <c r="A447" s="23" t="str">
        <f t="shared" si="211"/>
        <v>Q4 Shop 1</v>
      </c>
      <c r="B447" s="36" t="str">
        <f t="shared" ref="B447:C447" si="220">B446</f>
        <v>Q4</v>
      </c>
      <c r="C447" s="33">
        <f t="shared" si="220"/>
        <v>1</v>
      </c>
      <c r="D447" t="str">
        <f t="shared" si="197"/>
        <v>Audi San Jose</v>
      </c>
      <c r="E447" t="str">
        <f>IF($J447="","",IFERROR(VLOOKUP($J447,KEY!$D$6:$F$76,3,FALSE),""))</f>
        <v>Northern California</v>
      </c>
      <c r="F447" t="str">
        <f>IF($J447="","",IFERROR(VLOOKUP($J447,KEY!$D$6:$F$76,2,FALSE),""))</f>
        <v>Audi</v>
      </c>
      <c r="G447" t="str">
        <f t="shared" si="213"/>
        <v>Q4 Shop 1_Audi San Jose</v>
      </c>
      <c r="H447" s="30">
        <f t="shared" si="199"/>
        <v>4</v>
      </c>
      <c r="I447" s="30">
        <f t="shared" si="200"/>
        <v>4</v>
      </c>
      <c r="J447" s="110" t="s">
        <v>68</v>
      </c>
      <c r="L447" t="s">
        <v>484</v>
      </c>
      <c r="M447" t="s">
        <v>57</v>
      </c>
      <c r="N447" t="s">
        <v>57</v>
      </c>
      <c r="O447" t="s">
        <v>57</v>
      </c>
      <c r="P447" t="s">
        <v>57</v>
      </c>
    </row>
    <row r="448" spans="1:16">
      <c r="A448" s="23" t="str">
        <f t="shared" si="211"/>
        <v>Q4 Shop 1</v>
      </c>
      <c r="B448" s="36" t="str">
        <f t="shared" ref="B448:C448" si="221">B447</f>
        <v>Q4</v>
      </c>
      <c r="C448" s="33">
        <f t="shared" si="221"/>
        <v>1</v>
      </c>
      <c r="D448" t="str">
        <f t="shared" si="197"/>
        <v>Capitol Honda</v>
      </c>
      <c r="E448" t="str">
        <f>IF($J448="","",IFERROR(VLOOKUP($J448,KEY!$D$6:$F$76,3,FALSE),""))</f>
        <v>Northern California</v>
      </c>
      <c r="F448" t="str">
        <f>IF($J448="","",IFERROR(VLOOKUP($J448,KEY!$D$6:$F$76,2,FALSE),""))</f>
        <v>Honda</v>
      </c>
      <c r="G448" t="str">
        <f t="shared" si="213"/>
        <v>Q4 Shop 1_Capitol Honda</v>
      </c>
      <c r="H448" s="30">
        <f t="shared" si="199"/>
        <v>4</v>
      </c>
      <c r="I448" s="30">
        <f t="shared" si="200"/>
        <v>3</v>
      </c>
      <c r="J448" s="110" t="s">
        <v>88</v>
      </c>
      <c r="L448" t="s">
        <v>444</v>
      </c>
      <c r="M448" t="s">
        <v>56</v>
      </c>
      <c r="N448" t="s">
        <v>57</v>
      </c>
      <c r="O448" t="s">
        <v>57</v>
      </c>
      <c r="P448" t="s">
        <v>57</v>
      </c>
    </row>
    <row r="449" spans="1:16">
      <c r="A449" s="23" t="str">
        <f t="shared" si="211"/>
        <v>Q4 Shop 1</v>
      </c>
      <c r="B449" s="36" t="str">
        <f t="shared" ref="B449:C449" si="222">B448</f>
        <v>Q4</v>
      </c>
      <c r="C449" s="33">
        <f t="shared" si="222"/>
        <v>1</v>
      </c>
      <c r="D449" t="str">
        <f t="shared" si="197"/>
        <v>Honda North</v>
      </c>
      <c r="E449" t="str">
        <f>IF($J449="","",IFERROR(VLOOKUP($J449,KEY!$D$6:$F$76,3,FALSE),""))</f>
        <v>Northern California</v>
      </c>
      <c r="F449" t="str">
        <f>IF($J449="","",IFERROR(VLOOKUP($J449,KEY!$D$6:$F$76,2,FALSE),""))</f>
        <v>Honda</v>
      </c>
      <c r="G449" t="str">
        <f t="shared" si="213"/>
        <v>Q4 Shop 1_Honda North</v>
      </c>
      <c r="H449" s="30">
        <f t="shared" si="199"/>
        <v>4</v>
      </c>
      <c r="I449" s="30">
        <f t="shared" si="200"/>
        <v>3</v>
      </c>
      <c r="J449" s="186" t="s">
        <v>102</v>
      </c>
      <c r="L449" t="s">
        <v>485</v>
      </c>
      <c r="M449" t="s">
        <v>57</v>
      </c>
      <c r="N449" t="s">
        <v>56</v>
      </c>
      <c r="O449" t="s">
        <v>57</v>
      </c>
      <c r="P449" t="s">
        <v>57</v>
      </c>
    </row>
    <row r="450" spans="1:16">
      <c r="A450" s="23" t="str">
        <f t="shared" si="211"/>
        <v>Q4 Shop 1</v>
      </c>
      <c r="B450" s="36" t="str">
        <f t="shared" ref="B450:C450" si="223">B449</f>
        <v>Q4</v>
      </c>
      <c r="C450" s="33">
        <f t="shared" si="223"/>
        <v>1</v>
      </c>
      <c r="D450" t="str">
        <f t="shared" si="197"/>
        <v>Capitol Acura</v>
      </c>
      <c r="E450" t="str">
        <f>IF($J450="","",IFERROR(VLOOKUP($J450,KEY!$D$6:$F$76,3,FALSE),""))</f>
        <v>Northern California</v>
      </c>
      <c r="F450" t="str">
        <f>IF($J450="","",IFERROR(VLOOKUP($J450,KEY!$D$6:$F$76,2,FALSE),""))</f>
        <v>Acura</v>
      </c>
      <c r="G450" t="str">
        <f t="shared" si="213"/>
        <v>Q4 Shop 1_Capitol Acura</v>
      </c>
      <c r="H450" s="30">
        <f t="shared" si="199"/>
        <v>4</v>
      </c>
      <c r="I450" s="30">
        <f t="shared" si="200"/>
        <v>4</v>
      </c>
      <c r="J450" s="186" t="s">
        <v>86</v>
      </c>
      <c r="L450" t="s">
        <v>486</v>
      </c>
      <c r="M450" t="s">
        <v>57</v>
      </c>
      <c r="N450" t="s">
        <v>57</v>
      </c>
      <c r="O450" t="s">
        <v>57</v>
      </c>
      <c r="P450" t="s">
        <v>57</v>
      </c>
    </row>
    <row r="451" spans="1:16">
      <c r="A451" s="23" t="str">
        <f t="shared" si="211"/>
        <v>Q4 Shop 1</v>
      </c>
      <c r="B451" s="36" t="str">
        <f t="shared" ref="B451:C451" si="224">B450</f>
        <v>Q4</v>
      </c>
      <c r="C451" s="33">
        <f t="shared" si="224"/>
        <v>1</v>
      </c>
      <c r="D451" t="str">
        <f t="shared" si="197"/>
        <v>MINI of Marin</v>
      </c>
      <c r="E451" t="str">
        <f>IF($J451="","",IFERROR(VLOOKUP($J451,KEY!$D$6:$F$76,3,FALSE),""))</f>
        <v>Northern California</v>
      </c>
      <c r="F451" t="str">
        <f>IF($J451="","",IFERROR(VLOOKUP($J451,KEY!$D$6:$F$76,2,FALSE),""))</f>
        <v>MINI</v>
      </c>
      <c r="G451" t="str">
        <f t="shared" si="213"/>
        <v>Q4 Shop 1_MINI of Marin</v>
      </c>
      <c r="H451" s="30">
        <f t="shared" si="199"/>
        <v>4</v>
      </c>
      <c r="I451" s="30">
        <f t="shared" si="200"/>
        <v>4</v>
      </c>
      <c r="J451" s="186" t="s">
        <v>142</v>
      </c>
      <c r="L451" t="s">
        <v>445</v>
      </c>
      <c r="M451" t="s">
        <v>57</v>
      </c>
      <c r="N451" t="s">
        <v>57</v>
      </c>
      <c r="O451" t="s">
        <v>57</v>
      </c>
      <c r="P451" t="s">
        <v>57</v>
      </c>
    </row>
    <row r="452" spans="1:16">
      <c r="A452" s="23" t="str">
        <f t="shared" si="211"/>
        <v>Q4 Shop 1</v>
      </c>
      <c r="B452" s="36" t="str">
        <f t="shared" ref="B452:C452" si="225">B451</f>
        <v>Q4</v>
      </c>
      <c r="C452" s="33">
        <f t="shared" si="225"/>
        <v>1</v>
      </c>
      <c r="D452" t="str">
        <f t="shared" si="197"/>
        <v>Peter Pan BMW</v>
      </c>
      <c r="E452" t="str">
        <f>IF($J452="","",IFERROR(VLOOKUP($J452,KEY!$D$6:$F$76,3,FALSE),""))</f>
        <v>Northern California</v>
      </c>
      <c r="F452" t="str">
        <f>IF($J452="","",IFERROR(VLOOKUP($J452,KEY!$D$6:$F$76,2,FALSE),""))</f>
        <v>BMW</v>
      </c>
      <c r="G452" t="str">
        <f t="shared" si="213"/>
        <v>Q4 Shop 1_Peter Pan BMW</v>
      </c>
      <c r="H452" s="30">
        <f t="shared" si="199"/>
        <v>4</v>
      </c>
      <c r="I452" s="30">
        <f t="shared" si="200"/>
        <v>2</v>
      </c>
      <c r="J452" s="186" t="s">
        <v>158</v>
      </c>
      <c r="L452" t="s">
        <v>336</v>
      </c>
      <c r="M452" t="s">
        <v>56</v>
      </c>
      <c r="N452" t="s">
        <v>56</v>
      </c>
      <c r="O452" t="s">
        <v>57</v>
      </c>
      <c r="P452" t="s">
        <v>57</v>
      </c>
    </row>
    <row r="453" spans="1:16">
      <c r="A453" s="23" t="str">
        <f t="shared" si="211"/>
        <v>Q4 Shop 1</v>
      </c>
      <c r="B453" s="36" t="str">
        <f t="shared" ref="B453:C453" si="226">B452</f>
        <v>Q4</v>
      </c>
      <c r="C453" s="33">
        <f t="shared" si="226"/>
        <v>1</v>
      </c>
      <c r="D453" t="str">
        <f t="shared" si="197"/>
        <v>Porsche Stevens Creek</v>
      </c>
      <c r="E453" t="str">
        <f>IF($J453="","",IFERROR(VLOOKUP($J453,KEY!$D$6:$F$76,3,FALSE),""))</f>
        <v>Northern California</v>
      </c>
      <c r="F453" t="str">
        <f>IF($J453="","",IFERROR(VLOOKUP($J453,KEY!$D$6:$F$76,2,FALSE),""))</f>
        <v>Porsche</v>
      </c>
      <c r="G453" t="str">
        <f t="shared" si="213"/>
        <v>Q4 Shop 1_Porsche Stevens Creek</v>
      </c>
      <c r="H453" s="30">
        <f t="shared" si="199"/>
        <v>4</v>
      </c>
      <c r="I453" s="30">
        <f t="shared" si="200"/>
        <v>4</v>
      </c>
      <c r="J453" s="186" t="s">
        <v>162</v>
      </c>
      <c r="L453" t="s">
        <v>397</v>
      </c>
      <c r="M453" t="s">
        <v>57</v>
      </c>
      <c r="N453" t="s">
        <v>57</v>
      </c>
      <c r="O453" t="s">
        <v>57</v>
      </c>
      <c r="P453" t="s">
        <v>57</v>
      </c>
    </row>
    <row r="454" spans="1:16">
      <c r="A454" s="23" t="str">
        <f t="shared" si="211"/>
        <v>Q4 Shop 1</v>
      </c>
      <c r="B454" s="36" t="str">
        <f t="shared" ref="B454:C454" si="227">B453</f>
        <v>Q4</v>
      </c>
      <c r="C454" s="33">
        <f t="shared" si="227"/>
        <v>1</v>
      </c>
      <c r="D454" t="str">
        <f t="shared" si="197"/>
        <v>Toyota of Clovis</v>
      </c>
      <c r="E454" t="str">
        <f>IF($J454="","",IFERROR(VLOOKUP($J454,KEY!$D$6:$F$76,3,FALSE),""))</f>
        <v>Northern California</v>
      </c>
      <c r="F454" t="str">
        <f>IF($J454="","",IFERROR(VLOOKUP($J454,KEY!$D$6:$F$76,2,FALSE),""))</f>
        <v>Toyota</v>
      </c>
      <c r="G454" t="str">
        <f t="shared" si="213"/>
        <v>Q4 Shop 1_Toyota of Clovis</v>
      </c>
      <c r="H454" s="30">
        <f t="shared" si="199"/>
        <v>4</v>
      </c>
      <c r="I454" s="30">
        <f t="shared" si="200"/>
        <v>4</v>
      </c>
      <c r="J454" s="186" t="s">
        <v>176</v>
      </c>
      <c r="L454" t="s">
        <v>447</v>
      </c>
      <c r="M454" t="s">
        <v>57</v>
      </c>
      <c r="N454" t="s">
        <v>57</v>
      </c>
      <c r="O454" t="s">
        <v>57</v>
      </c>
      <c r="P454" t="s">
        <v>57</v>
      </c>
    </row>
    <row r="455" spans="1:16">
      <c r="A455" s="23" t="str">
        <f t="shared" si="211"/>
        <v>Q4 Shop 1</v>
      </c>
      <c r="B455" s="36" t="str">
        <f t="shared" ref="B455:C455" si="228">B454</f>
        <v>Q4</v>
      </c>
      <c r="C455" s="33">
        <f t="shared" si="228"/>
        <v>1</v>
      </c>
      <c r="D455" t="str">
        <f t="shared" si="197"/>
        <v>Audi North OC</v>
      </c>
      <c r="E455" t="str">
        <f>IF($J455="","",IFERROR(VLOOKUP($J455,KEY!$D$6:$F$76,3,FALSE),""))</f>
        <v>Orange County</v>
      </c>
      <c r="F455" t="str">
        <f>IF($J455="","",IFERROR(VLOOKUP($J455,KEY!$D$6:$F$76,2,FALSE),""))</f>
        <v>Audi</v>
      </c>
      <c r="G455" t="str">
        <f t="shared" si="213"/>
        <v>Q4 Shop 1_Audi North OC</v>
      </c>
      <c r="H455" s="30">
        <f t="shared" si="199"/>
        <v>4</v>
      </c>
      <c r="I455" s="30">
        <f t="shared" si="200"/>
        <v>4</v>
      </c>
      <c r="J455" s="186" t="s">
        <v>64</v>
      </c>
      <c r="L455" t="s">
        <v>487</v>
      </c>
      <c r="M455" t="s">
        <v>57</v>
      </c>
      <c r="N455" t="s">
        <v>57</v>
      </c>
      <c r="O455" t="s">
        <v>57</v>
      </c>
      <c r="P455" t="s">
        <v>57</v>
      </c>
    </row>
    <row r="456" spans="1:16">
      <c r="A456" s="23" t="str">
        <f t="shared" si="211"/>
        <v>Q4 Shop 1</v>
      </c>
      <c r="B456" s="36" t="str">
        <f t="shared" ref="B456:C456" si="229">B455</f>
        <v>Q4</v>
      </c>
      <c r="C456" s="33">
        <f t="shared" si="229"/>
        <v>1</v>
      </c>
      <c r="D456" t="str">
        <f t="shared" si="197"/>
        <v>Audi South Coast</v>
      </c>
      <c r="E456" t="str">
        <f>IF($J456="","",IFERROR(VLOOKUP($J456,KEY!$D$6:$F$76,3,FALSE),""))</f>
        <v>Orange County</v>
      </c>
      <c r="F456" t="str">
        <f>IF($J456="","",IFERROR(VLOOKUP($J456,KEY!$D$6:$F$76,2,FALSE),""))</f>
        <v>Audi</v>
      </c>
      <c r="G456" t="str">
        <f t="shared" si="213"/>
        <v>Q4 Shop 1_Audi South Coast</v>
      </c>
      <c r="H456" s="30">
        <f t="shared" si="199"/>
        <v>4</v>
      </c>
      <c r="I456" s="30">
        <f t="shared" si="200"/>
        <v>4</v>
      </c>
      <c r="J456" s="186" t="s">
        <v>70</v>
      </c>
      <c r="L456" t="s">
        <v>488</v>
      </c>
      <c r="M456" t="s">
        <v>57</v>
      </c>
      <c r="N456" t="s">
        <v>57</v>
      </c>
      <c r="O456" t="s">
        <v>57</v>
      </c>
      <c r="P456" t="s">
        <v>57</v>
      </c>
    </row>
    <row r="457" spans="1:16">
      <c r="A457" s="23" t="str">
        <f t="shared" si="211"/>
        <v>Q4 Shop 1</v>
      </c>
      <c r="B457" s="36" t="str">
        <f t="shared" ref="B457:C457" si="230">B456</f>
        <v>Q4</v>
      </c>
      <c r="C457" s="33">
        <f t="shared" si="230"/>
        <v>1</v>
      </c>
      <c r="D457" t="str">
        <f t="shared" si="197"/>
        <v>BMW of Ontario</v>
      </c>
      <c r="E457" t="str">
        <f>IF($J457="","",IFERROR(VLOOKUP($J457,KEY!$D$6:$F$76,3,FALSE),""))</f>
        <v>Orange County</v>
      </c>
      <c r="F457" t="str">
        <f>IF($J457="","",IFERROR(VLOOKUP($J457,KEY!$D$6:$F$76,2,FALSE),""))</f>
        <v>BMW</v>
      </c>
      <c r="G457" t="str">
        <f t="shared" si="213"/>
        <v>Q4 Shop 1_BMW of Ontario</v>
      </c>
      <c r="H457" s="30">
        <f t="shared" si="199"/>
        <v>4</v>
      </c>
      <c r="I457" s="30">
        <f t="shared" si="200"/>
        <v>4</v>
      </c>
      <c r="J457" s="186" t="s">
        <v>80</v>
      </c>
      <c r="L457" t="s">
        <v>349</v>
      </c>
      <c r="M457" t="s">
        <v>57</v>
      </c>
      <c r="N457" t="s">
        <v>57</v>
      </c>
      <c r="O457" t="s">
        <v>57</v>
      </c>
      <c r="P457" t="s">
        <v>57</v>
      </c>
    </row>
    <row r="458" spans="1:16">
      <c r="A458" s="23" t="str">
        <f t="shared" si="211"/>
        <v>Q4 Shop 1</v>
      </c>
      <c r="B458" s="36" t="str">
        <f t="shared" ref="B458:C458" si="231">B457</f>
        <v>Q4</v>
      </c>
      <c r="C458" s="33">
        <f t="shared" si="231"/>
        <v>1</v>
      </c>
      <c r="D458" t="str">
        <f t="shared" si="197"/>
        <v>Crevier BMW</v>
      </c>
      <c r="E458" t="str">
        <f>IF($J458="","",IFERROR(VLOOKUP($J458,KEY!$D$6:$F$76,3,FALSE),""))</f>
        <v>Orange County</v>
      </c>
      <c r="F458" t="str">
        <f>IF($J458="","",IFERROR(VLOOKUP($J458,KEY!$D$6:$F$76,2,FALSE),""))</f>
        <v>BMW</v>
      </c>
      <c r="G458" t="str">
        <f t="shared" si="213"/>
        <v>Q4 Shop 1_Crevier BMW</v>
      </c>
      <c r="H458" s="30">
        <f t="shared" si="199"/>
        <v>4</v>
      </c>
      <c r="I458" s="30">
        <f t="shared" si="200"/>
        <v>4</v>
      </c>
      <c r="J458" s="186" t="s">
        <v>90</v>
      </c>
      <c r="L458" t="s">
        <v>350</v>
      </c>
      <c r="M458" t="s">
        <v>57</v>
      </c>
      <c r="N458" t="s">
        <v>57</v>
      </c>
      <c r="O458" t="s">
        <v>57</v>
      </c>
      <c r="P458" t="s">
        <v>57</v>
      </c>
    </row>
    <row r="459" spans="1:16">
      <c r="A459" s="23" t="str">
        <f t="shared" si="211"/>
        <v>Q4 Shop 1</v>
      </c>
      <c r="B459" s="36" t="str">
        <f t="shared" ref="B459:C459" si="232">B458</f>
        <v>Q4</v>
      </c>
      <c r="C459" s="33">
        <f t="shared" si="232"/>
        <v>1</v>
      </c>
      <c r="D459" t="str">
        <f t="shared" si="197"/>
        <v>Crevier MINI</v>
      </c>
      <c r="E459" t="str">
        <f>IF($J459="","",IFERROR(VLOOKUP($J459,KEY!$D$6:$F$76,3,FALSE),""))</f>
        <v>Orange County</v>
      </c>
      <c r="F459" t="str">
        <f>IF($J459="","",IFERROR(VLOOKUP($J459,KEY!$D$6:$F$76,2,FALSE),""))</f>
        <v>MINI</v>
      </c>
      <c r="G459" t="str">
        <f t="shared" si="213"/>
        <v>Q4 Shop 1_Crevier MINI</v>
      </c>
      <c r="H459" s="30">
        <f t="shared" si="199"/>
        <v>4</v>
      </c>
      <c r="I459" s="30">
        <f t="shared" si="200"/>
        <v>4</v>
      </c>
      <c r="J459" s="186" t="s">
        <v>92</v>
      </c>
      <c r="L459" t="s">
        <v>403</v>
      </c>
      <c r="M459" t="s">
        <v>57</v>
      </c>
      <c r="N459" t="s">
        <v>57</v>
      </c>
      <c r="O459" t="s">
        <v>57</v>
      </c>
      <c r="P459" t="s">
        <v>57</v>
      </c>
    </row>
    <row r="460" spans="1:16">
      <c r="A460" s="23" t="str">
        <f t="shared" si="211"/>
        <v>Q4 Shop 1</v>
      </c>
      <c r="B460" s="36" t="str">
        <f t="shared" ref="B460:C460" si="233">B459</f>
        <v>Q4</v>
      </c>
      <c r="C460" s="33">
        <f t="shared" si="233"/>
        <v>1</v>
      </c>
      <c r="D460" t="str">
        <f t="shared" si="197"/>
        <v>Lincoln South Coast</v>
      </c>
      <c r="E460" t="str">
        <f>IF($J460="","",IFERROR(VLOOKUP($J460,KEY!$D$6:$F$76,3,FALSE),""))</f>
        <v>Orange County</v>
      </c>
      <c r="F460" t="str">
        <f>IF($J460="","",IFERROR(VLOOKUP($J460,KEY!$D$6:$F$76,2,FALSE),""))</f>
        <v>Lincoln</v>
      </c>
      <c r="G460" t="str">
        <f t="shared" si="213"/>
        <v>Q4 Shop 1_Lincoln South Coast</v>
      </c>
      <c r="H460" s="30">
        <f t="shared" si="199"/>
        <v>4</v>
      </c>
      <c r="I460" s="30">
        <f t="shared" si="200"/>
        <v>4</v>
      </c>
      <c r="J460" s="186" t="s">
        <v>128</v>
      </c>
      <c r="L460" t="s">
        <v>489</v>
      </c>
      <c r="M460" t="s">
        <v>57</v>
      </c>
      <c r="N460" t="s">
        <v>57</v>
      </c>
      <c r="O460" t="s">
        <v>57</v>
      </c>
      <c r="P460" t="s">
        <v>57</v>
      </c>
    </row>
    <row r="461" spans="1:16">
      <c r="A461" s="23" t="str">
        <f t="shared" si="211"/>
        <v>Q4 Shop 1</v>
      </c>
      <c r="B461" s="36" t="str">
        <f t="shared" ref="B461:C461" si="234">B460</f>
        <v>Q4</v>
      </c>
      <c r="C461" s="33">
        <f t="shared" si="234"/>
        <v>1</v>
      </c>
      <c r="D461" t="str">
        <f t="shared" si="197"/>
        <v>MINI of Ontario</v>
      </c>
      <c r="E461" t="str">
        <f>IF($J461="","",IFERROR(VLOOKUP($J461,KEY!$D$6:$F$76,3,FALSE),""))</f>
        <v>Orange County</v>
      </c>
      <c r="F461" t="str">
        <f>IF($J461="","",IFERROR(VLOOKUP($J461,KEY!$D$6:$F$76,2,FALSE),""))</f>
        <v>MINI</v>
      </c>
      <c r="G461" t="str">
        <f t="shared" si="213"/>
        <v>Q4 Shop 1_MINI of Ontario</v>
      </c>
      <c r="H461" s="30">
        <f t="shared" ref="H461:H492" si="235">IF($J461="","",COUNTIF($M461:$V461,"*"))</f>
        <v>4</v>
      </c>
      <c r="I461" s="30">
        <f t="shared" ref="I461:I492" si="236">IF($J461="","",COUNTIF($M461:$V461,"YES*"))</f>
        <v>4</v>
      </c>
      <c r="J461" s="186" t="s">
        <v>144</v>
      </c>
      <c r="L461" t="s">
        <v>353</v>
      </c>
      <c r="M461" t="s">
        <v>57</v>
      </c>
      <c r="N461" t="s">
        <v>57</v>
      </c>
      <c r="O461" t="s">
        <v>57</v>
      </c>
      <c r="P461" t="s">
        <v>57</v>
      </c>
    </row>
    <row r="462" spans="1:16">
      <c r="A462" s="23" t="str">
        <f t="shared" si="211"/>
        <v>Q4 Shop 1</v>
      </c>
      <c r="B462" s="36" t="str">
        <f t="shared" ref="B462:C462" si="237">B461</f>
        <v>Q4</v>
      </c>
      <c r="C462" s="33">
        <f t="shared" si="237"/>
        <v>1</v>
      </c>
      <c r="D462" t="str">
        <f t="shared" si="197"/>
        <v>Subaru Orange Coast</v>
      </c>
      <c r="E462" t="str">
        <f>IF($J462="","",IFERROR(VLOOKUP($J462,KEY!$D$6:$F$76,3,FALSE),""))</f>
        <v>Orange County</v>
      </c>
      <c r="F462" t="str">
        <f>IF($J462="","",IFERROR(VLOOKUP($J462,KEY!$D$6:$F$76,2,FALSE),""))</f>
        <v>Subaru</v>
      </c>
      <c r="G462" t="str">
        <f t="shared" si="213"/>
        <v>Q4 Shop 1_Subaru Orange Coast</v>
      </c>
      <c r="H462" s="30">
        <f t="shared" si="235"/>
        <v>4</v>
      </c>
      <c r="I462" s="30">
        <f t="shared" si="236"/>
        <v>3</v>
      </c>
      <c r="J462" s="186" t="s">
        <v>172</v>
      </c>
      <c r="L462" t="s">
        <v>406</v>
      </c>
      <c r="M462" t="s">
        <v>57</v>
      </c>
      <c r="N462" t="s">
        <v>57</v>
      </c>
      <c r="O462" t="s">
        <v>57</v>
      </c>
      <c r="P462" t="s">
        <v>56</v>
      </c>
    </row>
    <row r="463" spans="1:16">
      <c r="A463" s="23" t="str">
        <f t="shared" si="211"/>
        <v>Q4 Shop 1</v>
      </c>
      <c r="B463" s="36" t="str">
        <f t="shared" ref="B463:C463" si="238">B462</f>
        <v>Q4</v>
      </c>
      <c r="C463" s="33">
        <f t="shared" si="238"/>
        <v>1</v>
      </c>
      <c r="D463" t="str">
        <f t="shared" si="197"/>
        <v>Volkswagen South Coast</v>
      </c>
      <c r="E463" t="str">
        <f>IF($J463="","",IFERROR(VLOOKUP($J463,KEY!$D$6:$F$76,3,FALSE),""))</f>
        <v>Orange County</v>
      </c>
      <c r="F463" t="str">
        <f>IF($J463="","",IFERROR(VLOOKUP($J463,KEY!$D$6:$F$76,2,FALSE),""))</f>
        <v>Volkswagen</v>
      </c>
      <c r="G463" t="str">
        <f t="shared" si="213"/>
        <v>Q4 Shop 1_Volkswagen South Coast</v>
      </c>
      <c r="H463" s="30">
        <f t="shared" si="235"/>
        <v>4</v>
      </c>
      <c r="I463" s="30">
        <f t="shared" si="236"/>
        <v>4</v>
      </c>
      <c r="J463" s="186" t="s">
        <v>182</v>
      </c>
      <c r="L463" t="s">
        <v>490</v>
      </c>
      <c r="M463" t="s">
        <v>57</v>
      </c>
      <c r="N463" t="s">
        <v>57</v>
      </c>
      <c r="O463" t="s">
        <v>57</v>
      </c>
      <c r="P463" t="s">
        <v>57</v>
      </c>
    </row>
    <row r="464" spans="1:16">
      <c r="A464" s="23" t="str">
        <f t="shared" si="211"/>
        <v>Q4 Shop 1</v>
      </c>
      <c r="B464" s="36" t="str">
        <f t="shared" ref="B464:C464" si="239">B463</f>
        <v>Q4</v>
      </c>
      <c r="C464" s="33">
        <f t="shared" si="239"/>
        <v>1</v>
      </c>
      <c r="D464" t="str">
        <f t="shared" si="197"/>
        <v>Acura of Escondido</v>
      </c>
      <c r="E464" t="str">
        <f>IF($J464="","",IFERROR(VLOOKUP($J464,KEY!$D$6:$F$76,3,FALSE),""))</f>
        <v>Southern California</v>
      </c>
      <c r="F464" t="str">
        <f>IF($J464="","",IFERROR(VLOOKUP($J464,KEY!$D$6:$F$76,2,FALSE),""))</f>
        <v>Acura</v>
      </c>
      <c r="G464" t="str">
        <f t="shared" si="213"/>
        <v>Q4 Shop 1_Acura of Escondido</v>
      </c>
      <c r="H464" s="30">
        <f t="shared" si="235"/>
        <v>4</v>
      </c>
      <c r="I464" s="30">
        <f t="shared" si="236"/>
        <v>4</v>
      </c>
      <c r="J464" s="186" t="s">
        <v>58</v>
      </c>
      <c r="L464" t="s">
        <v>491</v>
      </c>
      <c r="M464" t="s">
        <v>57</v>
      </c>
      <c r="N464" t="s">
        <v>57</v>
      </c>
      <c r="O464" t="s">
        <v>57</v>
      </c>
      <c r="P464" t="s">
        <v>57</v>
      </c>
    </row>
    <row r="465" spans="1:16">
      <c r="A465" s="23" t="str">
        <f t="shared" si="211"/>
        <v>Q4 Shop 1</v>
      </c>
      <c r="B465" s="36" t="str">
        <f t="shared" ref="B465:C465" si="240">B464</f>
        <v>Q4</v>
      </c>
      <c r="C465" s="33">
        <f t="shared" si="240"/>
        <v>1</v>
      </c>
      <c r="D465" t="str">
        <f t="shared" si="197"/>
        <v>Audi Escondido</v>
      </c>
      <c r="E465" t="str">
        <f>IF($J465="","",IFERROR(VLOOKUP($J465,KEY!$D$6:$F$76,3,FALSE),""))</f>
        <v>Southern California</v>
      </c>
      <c r="F465" t="str">
        <f>IF($J465="","",IFERROR(VLOOKUP($J465,KEY!$D$6:$F$76,2,FALSE),""))</f>
        <v>Audi</v>
      </c>
      <c r="G465" t="str">
        <f t="shared" si="213"/>
        <v>Q4 Shop 1_Audi Escondido</v>
      </c>
      <c r="H465" s="30">
        <f t="shared" si="235"/>
        <v>4</v>
      </c>
      <c r="I465" s="30">
        <f t="shared" si="236"/>
        <v>4</v>
      </c>
      <c r="J465" s="186" t="s">
        <v>62</v>
      </c>
      <c r="L465" t="s">
        <v>357</v>
      </c>
      <c r="M465" t="s">
        <v>57</v>
      </c>
      <c r="N465" t="s">
        <v>57</v>
      </c>
      <c r="O465" t="s">
        <v>57</v>
      </c>
      <c r="P465" t="s">
        <v>57</v>
      </c>
    </row>
    <row r="466" spans="1:16">
      <c r="A466" s="23" t="str">
        <f t="shared" si="211"/>
        <v>Q4 Shop 1</v>
      </c>
      <c r="B466" s="36" t="str">
        <f t="shared" ref="B466:C466" si="241">B465</f>
        <v>Q4</v>
      </c>
      <c r="C466" s="33">
        <f t="shared" si="241"/>
        <v>1</v>
      </c>
      <c r="D466" t="str">
        <f t="shared" si="197"/>
        <v>BMW/MINI of Escondido</v>
      </c>
      <c r="E466" t="str">
        <f>IF($J466="","",IFERROR(VLOOKUP($J466,KEY!$D$6:$F$76,3,FALSE),""))</f>
        <v>Southern California</v>
      </c>
      <c r="F466" t="str">
        <f>IF($J466="","",IFERROR(VLOOKUP($J466,KEY!$D$6:$F$76,2,FALSE),""))</f>
        <v>BMW</v>
      </c>
      <c r="G466" t="str">
        <f t="shared" si="213"/>
        <v>Q4 Shop 1_BMW/MINI of Escondido</v>
      </c>
      <c r="H466" s="30">
        <f t="shared" si="235"/>
        <v>4</v>
      </c>
      <c r="I466" s="30">
        <f t="shared" si="236"/>
        <v>3</v>
      </c>
      <c r="J466" s="186" t="s">
        <v>84</v>
      </c>
      <c r="L466" t="s">
        <v>492</v>
      </c>
      <c r="M466" t="s">
        <v>57</v>
      </c>
      <c r="N466" t="s">
        <v>56</v>
      </c>
      <c r="O466" t="s">
        <v>57</v>
      </c>
      <c r="P466" t="s">
        <v>57</v>
      </c>
    </row>
    <row r="467" spans="1:16">
      <c r="A467" s="23" t="str">
        <f t="shared" si="211"/>
        <v>Q4 Shop 1</v>
      </c>
      <c r="B467" s="36" t="str">
        <f t="shared" ref="B467:C467" si="242">B466</f>
        <v>Q4</v>
      </c>
      <c r="C467" s="33">
        <f t="shared" si="242"/>
        <v>1</v>
      </c>
      <c r="D467" t="str">
        <f t="shared" si="197"/>
        <v>BMW of San Diego</v>
      </c>
      <c r="E467" t="str">
        <f>IF($J467="","",IFERROR(VLOOKUP($J467,KEY!$D$6:$F$76,3,FALSE),""))</f>
        <v>Southern California</v>
      </c>
      <c r="F467" t="str">
        <f>IF($J467="","",IFERROR(VLOOKUP($J467,KEY!$D$6:$F$76,2,FALSE),""))</f>
        <v>BMW</v>
      </c>
      <c r="G467" t="str">
        <f t="shared" si="213"/>
        <v>Q4 Shop 1_BMW of San Diego</v>
      </c>
      <c r="H467" s="30">
        <f t="shared" si="235"/>
        <v>4</v>
      </c>
      <c r="I467" s="30">
        <f t="shared" si="236"/>
        <v>3</v>
      </c>
      <c r="J467" s="186" t="s">
        <v>82</v>
      </c>
      <c r="L467" t="s">
        <v>359</v>
      </c>
      <c r="M467" t="s">
        <v>57</v>
      </c>
      <c r="N467" t="s">
        <v>56</v>
      </c>
      <c r="O467" t="s">
        <v>57</v>
      </c>
      <c r="P467" t="s">
        <v>57</v>
      </c>
    </row>
    <row r="468" spans="1:16">
      <c r="A468" s="23" t="str">
        <f t="shared" si="211"/>
        <v>Q4 Shop 1</v>
      </c>
      <c r="B468" s="36" t="str">
        <f t="shared" ref="B468:C468" si="243">B467</f>
        <v>Q4</v>
      </c>
      <c r="C468" s="33">
        <f t="shared" si="243"/>
        <v>1</v>
      </c>
      <c r="D468" t="str">
        <f t="shared" si="197"/>
        <v>Honda of Escondido</v>
      </c>
      <c r="E468" t="str">
        <f>IF($J468="","",IFERROR(VLOOKUP($J468,KEY!$D$6:$F$76,3,FALSE),""))</f>
        <v>Southern California</v>
      </c>
      <c r="F468" t="str">
        <f>IF($J468="","",IFERROR(VLOOKUP($J468,KEY!$D$6:$F$76,2,FALSE),""))</f>
        <v>Honda</v>
      </c>
      <c r="G468" t="str">
        <f t="shared" si="213"/>
        <v>Q4 Shop 1_Honda of Escondido</v>
      </c>
      <c r="H468" s="30">
        <f t="shared" si="235"/>
        <v>4</v>
      </c>
      <c r="I468" s="30">
        <f t="shared" si="236"/>
        <v>3</v>
      </c>
      <c r="J468" s="186" t="s">
        <v>104</v>
      </c>
      <c r="L468" t="s">
        <v>493</v>
      </c>
      <c r="M468" t="s">
        <v>57</v>
      </c>
      <c r="N468" t="s">
        <v>57</v>
      </c>
      <c r="O468" t="s">
        <v>57</v>
      </c>
      <c r="P468" t="s">
        <v>56</v>
      </c>
    </row>
    <row r="469" spans="1:16">
      <c r="A469" s="23" t="str">
        <f t="shared" si="211"/>
        <v>Q4 Shop 1</v>
      </c>
      <c r="B469" s="36" t="str">
        <f t="shared" ref="B469:C469" si="244">B468</f>
        <v>Q4</v>
      </c>
      <c r="C469" s="33">
        <f t="shared" si="244"/>
        <v>1</v>
      </c>
      <c r="D469" t="str">
        <f t="shared" si="197"/>
        <v>Kearny Mesa Toyota</v>
      </c>
      <c r="E469" t="str">
        <f>IF($J469="","",IFERROR(VLOOKUP($J469,KEY!$D$6:$F$76,3,FALSE),""))</f>
        <v>Southern California</v>
      </c>
      <c r="F469" t="str">
        <f>IF($J469="","",IFERROR(VLOOKUP($J469,KEY!$D$6:$F$76,2,FALSE),""))</f>
        <v>Toyota</v>
      </c>
      <c r="G469" t="str">
        <f t="shared" si="213"/>
        <v>Q4 Shop 1_Kearny Mesa Toyota</v>
      </c>
      <c r="H469" s="30">
        <f t="shared" si="235"/>
        <v>4</v>
      </c>
      <c r="I469" s="30">
        <f t="shared" si="236"/>
        <v>4</v>
      </c>
      <c r="J469" s="186" t="s">
        <v>112</v>
      </c>
      <c r="L469" t="s">
        <v>362</v>
      </c>
      <c r="M469" t="s">
        <v>57</v>
      </c>
      <c r="N469" t="s">
        <v>57</v>
      </c>
      <c r="O469" t="s">
        <v>57</v>
      </c>
      <c r="P469" t="s">
        <v>57</v>
      </c>
    </row>
    <row r="470" spans="1:16">
      <c r="A470" s="23" t="str">
        <f t="shared" si="211"/>
        <v>Q4 Shop 1</v>
      </c>
      <c r="B470" s="36" t="str">
        <f t="shared" ref="B470:C470" si="245">B469</f>
        <v>Q4</v>
      </c>
      <c r="C470" s="33">
        <f t="shared" si="245"/>
        <v>1</v>
      </c>
      <c r="D470" t="str">
        <f t="shared" si="197"/>
        <v>Lexus San Diego</v>
      </c>
      <c r="E470" t="str">
        <f>IF($J470="","",IFERROR(VLOOKUP($J470,KEY!$D$6:$F$76,3,FALSE),""))</f>
        <v>Southern California</v>
      </c>
      <c r="F470" t="str">
        <f>IF($J470="","",IFERROR(VLOOKUP($J470,KEY!$D$6:$F$76,2,FALSE),""))</f>
        <v>Lexus</v>
      </c>
      <c r="G470" t="str">
        <f t="shared" si="213"/>
        <v>Q4 Shop 1_Lexus San Diego</v>
      </c>
      <c r="H470" s="30">
        <f t="shared" si="235"/>
        <v>4</v>
      </c>
      <c r="I470" s="30">
        <f t="shared" si="236"/>
        <v>4</v>
      </c>
      <c r="J470" s="186" t="s">
        <v>126</v>
      </c>
      <c r="L470" t="s">
        <v>494</v>
      </c>
      <c r="M470" t="s">
        <v>57</v>
      </c>
      <c r="N470" t="s">
        <v>57</v>
      </c>
      <c r="O470" t="s">
        <v>57</v>
      </c>
      <c r="P470" t="s">
        <v>57</v>
      </c>
    </row>
    <row r="471" spans="1:16">
      <c r="A471" s="23" t="str">
        <f t="shared" si="211"/>
        <v>Q4 Shop 1</v>
      </c>
      <c r="B471" s="36" t="str">
        <f t="shared" ref="B471:C471" si="246">B470</f>
        <v>Q4</v>
      </c>
      <c r="C471" s="33">
        <f t="shared" si="246"/>
        <v>1</v>
      </c>
      <c r="D471" t="str">
        <f t="shared" si="197"/>
        <v>Mazda of Escondido</v>
      </c>
      <c r="E471" t="str">
        <f>IF($J471="","",IFERROR(VLOOKUP($J471,KEY!$D$6:$F$76,3,FALSE),""))</f>
        <v>Southern California</v>
      </c>
      <c r="F471" t="str">
        <f>IF($J471="","",IFERROR(VLOOKUP($J471,KEY!$D$6:$F$76,2,FALSE),""))</f>
        <v>Mazda</v>
      </c>
      <c r="G471" t="str">
        <f t="shared" si="213"/>
        <v>Q4 Shop 1_Mazda of Escondido</v>
      </c>
      <c r="H471" s="30">
        <f t="shared" si="235"/>
        <v>4</v>
      </c>
      <c r="I471" s="30">
        <f t="shared" si="236"/>
        <v>4</v>
      </c>
      <c r="J471" s="186" t="s">
        <v>130</v>
      </c>
      <c r="L471" t="s">
        <v>364</v>
      </c>
      <c r="M471" t="s">
        <v>57</v>
      </c>
      <c r="N471" t="s">
        <v>57</v>
      </c>
      <c r="O471" t="s">
        <v>57</v>
      </c>
      <c r="P471" t="s">
        <v>57</v>
      </c>
    </row>
    <row r="472" spans="1:16">
      <c r="A472" s="23" t="str">
        <f t="shared" si="211"/>
        <v>Q4 Shop 1</v>
      </c>
      <c r="B472" s="36" t="str">
        <f t="shared" ref="B472:C472" si="247">B471</f>
        <v>Q4</v>
      </c>
      <c r="C472" s="33">
        <f t="shared" si="247"/>
        <v>1</v>
      </c>
      <c r="D472" t="str">
        <f t="shared" si="197"/>
        <v>Mercedes-Benz of San Diego</v>
      </c>
      <c r="E472" t="str">
        <f>IF($J472="","",IFERROR(VLOOKUP($J472,KEY!$D$6:$F$76,3,FALSE),""))</f>
        <v>Southern California</v>
      </c>
      <c r="F472" t="str">
        <f>IF($J472="","",IFERROR(VLOOKUP($J472,KEY!$D$6:$F$76,2,FALSE),""))</f>
        <v>Mercedes-Benz</v>
      </c>
      <c r="G472" t="str">
        <f t="shared" si="213"/>
        <v>Q4 Shop 1_Mercedes-Benz of San Diego</v>
      </c>
      <c r="H472" s="30">
        <f t="shared" si="235"/>
        <v>4</v>
      </c>
      <c r="I472" s="30">
        <f t="shared" si="236"/>
        <v>4</v>
      </c>
      <c r="J472" s="186" t="s">
        <v>136</v>
      </c>
      <c r="L472" t="s">
        <v>414</v>
      </c>
      <c r="M472" t="s">
        <v>57</v>
      </c>
      <c r="N472" t="s">
        <v>57</v>
      </c>
      <c r="O472" t="s">
        <v>57</v>
      </c>
      <c r="P472" t="s">
        <v>57</v>
      </c>
    </row>
    <row r="473" spans="1:16">
      <c r="A473" s="23" t="str">
        <f t="shared" si="211"/>
        <v>Q4 Shop 1</v>
      </c>
      <c r="B473" s="36" t="str">
        <f t="shared" ref="B473:C473" si="248">B472</f>
        <v>Q4</v>
      </c>
      <c r="C473" s="33">
        <f t="shared" si="248"/>
        <v>1</v>
      </c>
      <c r="D473" t="str">
        <f t="shared" si="197"/>
        <v>MINI of San Diego</v>
      </c>
      <c r="E473" t="str">
        <f>IF($J473="","",IFERROR(VLOOKUP($J473,KEY!$D$6:$F$76,3,FALSE),""))</f>
        <v>Southern California</v>
      </c>
      <c r="F473" t="str">
        <f>IF($J473="","",IFERROR(VLOOKUP($J473,KEY!$D$6:$F$76,2,FALSE),""))</f>
        <v>MINI</v>
      </c>
      <c r="G473" t="str">
        <f t="shared" si="213"/>
        <v>Q4 Shop 1_MINI of San Diego</v>
      </c>
      <c r="H473" s="30">
        <f t="shared" si="235"/>
        <v>4</v>
      </c>
      <c r="I473" s="30">
        <f t="shared" si="236"/>
        <v>4</v>
      </c>
      <c r="J473" s="110" t="s">
        <v>146</v>
      </c>
      <c r="L473" t="s">
        <v>366</v>
      </c>
      <c r="M473" t="s">
        <v>57</v>
      </c>
      <c r="N473" t="s">
        <v>57</v>
      </c>
      <c r="O473" t="s">
        <v>57</v>
      </c>
      <c r="P473" t="s">
        <v>57</v>
      </c>
    </row>
    <row r="474" spans="1:16">
      <c r="A474" s="23" t="str">
        <f t="shared" si="211"/>
        <v>Q4 Shop 1</v>
      </c>
      <c r="B474" s="36" t="str">
        <f t="shared" ref="B474:C474" si="249">B473</f>
        <v>Q4</v>
      </c>
      <c r="C474" s="33">
        <f t="shared" si="249"/>
        <v>1</v>
      </c>
      <c r="D474" t="str">
        <f t="shared" si="197"/>
        <v>BMW of Austin</v>
      </c>
      <c r="E474" t="str">
        <f>IF($J474="","",IFERROR(VLOOKUP($J474,KEY!$D$6:$F$76,3,FALSE),""))</f>
        <v>Texas</v>
      </c>
      <c r="F474" t="str">
        <f>IF($J474="","",IFERROR(VLOOKUP($J474,KEY!$D$6:$F$76,2,FALSE),""))</f>
        <v>BMW</v>
      </c>
      <c r="G474" t="str">
        <f t="shared" si="213"/>
        <v>Q4 Shop 1_BMW of Austin</v>
      </c>
      <c r="H474" s="30">
        <f t="shared" si="235"/>
        <v>4</v>
      </c>
      <c r="I474" s="30">
        <f t="shared" si="236"/>
        <v>2</v>
      </c>
      <c r="J474" s="110" t="s">
        <v>76</v>
      </c>
      <c r="L474" t="s">
        <v>495</v>
      </c>
      <c r="M474" t="s">
        <v>57</v>
      </c>
      <c r="N474" t="s">
        <v>56</v>
      </c>
      <c r="O474" t="s">
        <v>57</v>
      </c>
      <c r="P474" t="s">
        <v>56</v>
      </c>
    </row>
    <row r="475" spans="1:16">
      <c r="A475" s="23" t="str">
        <f t="shared" si="211"/>
        <v>Q4 Shop 1</v>
      </c>
      <c r="B475" s="36" t="str">
        <f t="shared" ref="B475:C475" si="250">B474</f>
        <v>Q4</v>
      </c>
      <c r="C475" s="33">
        <f t="shared" si="250"/>
        <v>1</v>
      </c>
      <c r="D475" t="str">
        <f t="shared" si="197"/>
        <v>Genesis of Round Rock</v>
      </c>
      <c r="E475" t="str">
        <f>IF($J475="","",IFERROR(VLOOKUP($J475,KEY!$D$6:$F$76,3,FALSE),""))</f>
        <v>Texas</v>
      </c>
      <c r="F475" t="str">
        <f>IF($J475="","",IFERROR(VLOOKUP($J475,KEY!$D$6:$F$76,2,FALSE),""))</f>
        <v>Genesis</v>
      </c>
      <c r="G475" t="str">
        <f t="shared" si="213"/>
        <v>Q4 Shop 1_Genesis of Round Rock</v>
      </c>
      <c r="H475" s="30">
        <f t="shared" si="235"/>
        <v>4</v>
      </c>
      <c r="I475" s="30">
        <f t="shared" si="236"/>
        <v>1</v>
      </c>
      <c r="J475" s="110" t="s">
        <v>98</v>
      </c>
      <c r="L475" t="s">
        <v>459</v>
      </c>
      <c r="M475" t="s">
        <v>57</v>
      </c>
      <c r="N475" t="s">
        <v>56</v>
      </c>
      <c r="O475" t="s">
        <v>56</v>
      </c>
      <c r="P475" t="s">
        <v>56</v>
      </c>
    </row>
    <row r="476" spans="1:16">
      <c r="A476" s="23" t="str">
        <f t="shared" si="211"/>
        <v>Q4 Shop 1</v>
      </c>
      <c r="B476" s="36" t="str">
        <f t="shared" ref="B476:C476" si="251">B475</f>
        <v>Q4</v>
      </c>
      <c r="C476" s="33">
        <f t="shared" si="251"/>
        <v>1</v>
      </c>
      <c r="D476" t="str">
        <f t="shared" si="197"/>
        <v>Honda Leander</v>
      </c>
      <c r="E476" t="str">
        <f>IF($J476="","",IFERROR(VLOOKUP($J476,KEY!$D$6:$F$76,3,FALSE),""))</f>
        <v>Texas</v>
      </c>
      <c r="F476" t="str">
        <f>IF($J476="","",IFERROR(VLOOKUP($J476,KEY!$D$6:$F$76,2,FALSE),""))</f>
        <v>Honda</v>
      </c>
      <c r="G476" t="str">
        <f t="shared" si="213"/>
        <v>Q4 Shop 1_Honda Leander</v>
      </c>
      <c r="H476" s="30">
        <f t="shared" si="235"/>
        <v>4</v>
      </c>
      <c r="I476" s="30">
        <f t="shared" si="236"/>
        <v>4</v>
      </c>
      <c r="J476" s="110" t="s">
        <v>100</v>
      </c>
      <c r="L476" t="s">
        <v>416</v>
      </c>
      <c r="M476" t="s">
        <v>57</v>
      </c>
      <c r="N476" t="s">
        <v>57</v>
      </c>
      <c r="O476" t="s">
        <v>57</v>
      </c>
      <c r="P476" t="s">
        <v>57</v>
      </c>
    </row>
    <row r="477" spans="1:16">
      <c r="A477" s="23" t="str">
        <f t="shared" si="211"/>
        <v>Q4 Shop 1</v>
      </c>
      <c r="B477" s="36" t="str">
        <f t="shared" ref="B477:C477" si="252">B476</f>
        <v>Q4</v>
      </c>
      <c r="C477" s="33">
        <f t="shared" si="252"/>
        <v>1</v>
      </c>
      <c r="D477" t="str">
        <f t="shared" si="197"/>
        <v>Hyundai of Leander</v>
      </c>
      <c r="E477" t="str">
        <f>IF($J477="","",IFERROR(VLOOKUP($J477,KEY!$D$6:$F$76,3,FALSE),""))</f>
        <v>Texas</v>
      </c>
      <c r="F477" t="str">
        <f>IF($J477="","",IFERROR(VLOOKUP($J477,KEY!$D$6:$F$76,2,FALSE),""))</f>
        <v>Hyundai</v>
      </c>
      <c r="G477" t="str">
        <f t="shared" si="213"/>
        <v>Q4 Shop 1_Hyundai of Leander</v>
      </c>
      <c r="H477" s="30">
        <f t="shared" si="235"/>
        <v>4</v>
      </c>
      <c r="I477" s="30">
        <f t="shared" si="236"/>
        <v>2</v>
      </c>
      <c r="J477" s="110" t="s">
        <v>417</v>
      </c>
      <c r="L477" t="s">
        <v>496</v>
      </c>
      <c r="M477" t="s">
        <v>57</v>
      </c>
      <c r="N477" t="s">
        <v>56</v>
      </c>
      <c r="O477" t="s">
        <v>57</v>
      </c>
      <c r="P477" t="s">
        <v>56</v>
      </c>
    </row>
    <row r="478" spans="1:16">
      <c r="A478" s="23" t="str">
        <f t="shared" si="211"/>
        <v>Q4 Shop 1</v>
      </c>
      <c r="B478" s="36" t="str">
        <f t="shared" ref="B478:C478" si="253">B477</f>
        <v>Q4</v>
      </c>
      <c r="C478" s="33">
        <f t="shared" si="253"/>
        <v>1</v>
      </c>
      <c r="D478" t="str">
        <f t="shared" si="197"/>
        <v>Hyundai of Pharr</v>
      </c>
      <c r="E478" t="str">
        <f>IF($J478="","",IFERROR(VLOOKUP($J478,KEY!$D$6:$F$76,3,FALSE),""))</f>
        <v>Texas</v>
      </c>
      <c r="F478" t="str">
        <f>IF($J478="","",IFERROR(VLOOKUP($J478,KEY!$D$6:$F$76,2,FALSE),""))</f>
        <v>Hyundai</v>
      </c>
      <c r="G478" t="str">
        <f t="shared" si="213"/>
        <v>Q4 Shop 1_Hyundai of Pharr</v>
      </c>
      <c r="H478" s="30">
        <f t="shared" si="235"/>
        <v>4</v>
      </c>
      <c r="I478" s="30">
        <f t="shared" si="236"/>
        <v>3</v>
      </c>
      <c r="J478" s="110" t="s">
        <v>108</v>
      </c>
      <c r="L478" t="s">
        <v>497</v>
      </c>
      <c r="M478" t="s">
        <v>57</v>
      </c>
      <c r="N478" t="s">
        <v>56</v>
      </c>
      <c r="O478" t="s">
        <v>57</v>
      </c>
      <c r="P478" t="s">
        <v>57</v>
      </c>
    </row>
    <row r="479" spans="1:16">
      <c r="A479" s="23" t="str">
        <f t="shared" si="211"/>
        <v>Q4 Shop 1</v>
      </c>
      <c r="B479" s="36" t="str">
        <f t="shared" ref="B479:C479" si="254">B478</f>
        <v>Q4</v>
      </c>
      <c r="C479" s="33">
        <f t="shared" si="254"/>
        <v>1</v>
      </c>
      <c r="D479" t="str">
        <f t="shared" si="197"/>
        <v>Lexus of Austin</v>
      </c>
      <c r="E479" t="str">
        <f>IF($J479="","",IFERROR(VLOOKUP($J479,KEY!$D$6:$F$76,3,FALSE),""))</f>
        <v>Texas</v>
      </c>
      <c r="F479" t="str">
        <f>IF($J479="","",IFERROR(VLOOKUP($J479,KEY!$D$6:$F$76,2,FALSE),""))</f>
        <v>Lexus</v>
      </c>
      <c r="G479" t="str">
        <f t="shared" si="213"/>
        <v>Q4 Shop 1_Lexus of Austin</v>
      </c>
      <c r="H479" s="30">
        <f t="shared" si="235"/>
        <v>4</v>
      </c>
      <c r="I479" s="30">
        <f t="shared" si="236"/>
        <v>3</v>
      </c>
      <c r="J479" s="110" t="s">
        <v>120</v>
      </c>
      <c r="L479" t="s">
        <v>498</v>
      </c>
      <c r="M479" t="s">
        <v>56</v>
      </c>
      <c r="N479" t="s">
        <v>57</v>
      </c>
      <c r="O479" t="s">
        <v>57</v>
      </c>
      <c r="P479" t="s">
        <v>57</v>
      </c>
    </row>
    <row r="480" spans="1:16">
      <c r="A480" s="23" t="str">
        <f t="shared" si="211"/>
        <v>Q4 Shop 1</v>
      </c>
      <c r="B480" s="36" t="str">
        <f t="shared" ref="B480:C480" si="255">B479</f>
        <v>Q4</v>
      </c>
      <c r="C480" s="33">
        <f t="shared" si="255"/>
        <v>1</v>
      </c>
      <c r="D480" t="str">
        <f t="shared" si="197"/>
        <v>Lexus of Lakeway</v>
      </c>
      <c r="E480" t="str">
        <f>IF($J480="","",IFERROR(VLOOKUP($J480,KEY!$D$6:$F$76,3,FALSE),""))</f>
        <v>Texas</v>
      </c>
      <c r="F480" t="str">
        <f>IF($J480="","",IFERROR(VLOOKUP($J480,KEY!$D$6:$F$76,2,FALSE),""))</f>
        <v>Lexus</v>
      </c>
      <c r="G480" t="str">
        <f t="shared" si="213"/>
        <v>Q4 Shop 1_Lexus of Lakeway</v>
      </c>
      <c r="H480" s="30">
        <f t="shared" si="235"/>
        <v>4</v>
      </c>
      <c r="I480" s="30">
        <f t="shared" si="236"/>
        <v>4</v>
      </c>
      <c r="J480" s="110" t="s">
        <v>124</v>
      </c>
      <c r="L480" t="s">
        <v>499</v>
      </c>
      <c r="M480" t="s">
        <v>57</v>
      </c>
      <c r="N480" t="s">
        <v>57</v>
      </c>
      <c r="O480" t="s">
        <v>57</v>
      </c>
      <c r="P480" t="s">
        <v>57</v>
      </c>
    </row>
    <row r="481" spans="1:16">
      <c r="A481" s="23" t="str">
        <f t="shared" si="211"/>
        <v>Q4 Shop 1</v>
      </c>
      <c r="B481" s="36" t="str">
        <f t="shared" ref="B481:C481" si="256">B480</f>
        <v>Q4</v>
      </c>
      <c r="C481" s="33">
        <f t="shared" si="256"/>
        <v>1</v>
      </c>
      <c r="D481" t="str">
        <f t="shared" si="197"/>
        <v>MINI of Austin</v>
      </c>
      <c r="E481" t="str">
        <f>IF($J481="","",IFERROR(VLOOKUP($J481,KEY!$D$6:$F$76,3,FALSE),""))</f>
        <v>Texas</v>
      </c>
      <c r="F481" t="str">
        <f>IF($J481="","",IFERROR(VLOOKUP($J481,KEY!$D$6:$F$76,2,FALSE),""))</f>
        <v>MINI</v>
      </c>
      <c r="G481" t="str">
        <f t="shared" si="213"/>
        <v>Q4 Shop 1_MINI of Austin</v>
      </c>
      <c r="H481" s="30">
        <f t="shared" si="235"/>
        <v>4</v>
      </c>
      <c r="I481" s="30">
        <f t="shared" si="236"/>
        <v>4</v>
      </c>
      <c r="J481" s="110" t="s">
        <v>140</v>
      </c>
      <c r="L481" t="s">
        <v>500</v>
      </c>
      <c r="M481" t="s">
        <v>57</v>
      </c>
      <c r="N481" t="s">
        <v>57</v>
      </c>
      <c r="O481" t="s">
        <v>57</v>
      </c>
      <c r="P481" t="s">
        <v>57</v>
      </c>
    </row>
    <row r="482" spans="1:16">
      <c r="A482" s="23" t="str">
        <f t="shared" si="211"/>
        <v>Q4 Shop 1</v>
      </c>
      <c r="B482" s="36" t="str">
        <f t="shared" ref="B482:C482" si="257">B481</f>
        <v>Q4</v>
      </c>
      <c r="C482" s="33">
        <f t="shared" si="257"/>
        <v>1</v>
      </c>
      <c r="D482" t="str">
        <f t="shared" si="197"/>
        <v>Round Rock Honda</v>
      </c>
      <c r="E482" t="str">
        <f>IF($J482="","",IFERROR(VLOOKUP($J482,KEY!$D$6:$F$76,3,FALSE),""))</f>
        <v>Texas</v>
      </c>
      <c r="F482" t="str">
        <f>IF($J482="","",IFERROR(VLOOKUP($J482,KEY!$D$6:$F$76,2,FALSE),""))</f>
        <v>Honda</v>
      </c>
      <c r="G482" t="str">
        <f t="shared" si="213"/>
        <v>Q4 Shop 1_Round Rock Honda</v>
      </c>
      <c r="H482" s="30">
        <f t="shared" si="235"/>
        <v>4</v>
      </c>
      <c r="I482" s="30">
        <f t="shared" si="236"/>
        <v>4</v>
      </c>
      <c r="J482" s="110" t="s">
        <v>164</v>
      </c>
      <c r="L482" t="s">
        <v>501</v>
      </c>
      <c r="M482" t="s">
        <v>57</v>
      </c>
      <c r="N482" t="s">
        <v>57</v>
      </c>
      <c r="O482" t="s">
        <v>57</v>
      </c>
      <c r="P482" t="s">
        <v>57</v>
      </c>
    </row>
    <row r="483" spans="1:16">
      <c r="A483" s="23" t="str">
        <f t="shared" si="211"/>
        <v>Q4 Shop 1</v>
      </c>
      <c r="B483" s="36" t="str">
        <f t="shared" ref="B483:C483" si="258">B482</f>
        <v>Q4</v>
      </c>
      <c r="C483" s="33">
        <f t="shared" si="258"/>
        <v>1</v>
      </c>
      <c r="D483" t="str">
        <f t="shared" si="197"/>
        <v>Round Rock Hyundai</v>
      </c>
      <c r="E483" t="str">
        <f>IF($J483="","",IFERROR(VLOOKUP($J483,KEY!$D$6:$F$76,3,FALSE),""))</f>
        <v>Texas</v>
      </c>
      <c r="F483" t="str">
        <f>IF($J483="","",IFERROR(VLOOKUP($J483,KEY!$D$6:$F$76,2,FALSE),""))</f>
        <v>Hyundai</v>
      </c>
      <c r="G483" t="str">
        <f t="shared" si="213"/>
        <v>Q4 Shop 1_Round Rock Hyundai</v>
      </c>
      <c r="H483" s="30">
        <f t="shared" si="235"/>
        <v>4</v>
      </c>
      <c r="I483" s="30">
        <f t="shared" si="236"/>
        <v>4</v>
      </c>
      <c r="J483" s="110" t="s">
        <v>166</v>
      </c>
      <c r="L483" t="s">
        <v>465</v>
      </c>
      <c r="M483" t="s">
        <v>57</v>
      </c>
      <c r="N483" t="s">
        <v>57</v>
      </c>
      <c r="O483" t="s">
        <v>57</v>
      </c>
      <c r="P483" t="s">
        <v>57</v>
      </c>
    </row>
    <row r="484" spans="1:16">
      <c r="A484" s="23" t="str">
        <f t="shared" si="211"/>
        <v>Q4 Shop 1</v>
      </c>
      <c r="B484" s="36" t="str">
        <f t="shared" ref="B484:C484" si="259">B483</f>
        <v>Q4</v>
      </c>
      <c r="C484" s="33">
        <f t="shared" si="259"/>
        <v>1</v>
      </c>
      <c r="D484" t="str">
        <f t="shared" si="197"/>
        <v>Round Rock Toyota</v>
      </c>
      <c r="E484" t="str">
        <f>IF($J484="","",IFERROR(VLOOKUP($J484,KEY!$D$6:$F$76,3,FALSE),""))</f>
        <v>Texas</v>
      </c>
      <c r="F484" t="str">
        <f>IF($J484="","",IFERROR(VLOOKUP($J484,KEY!$D$6:$F$76,2,FALSE),""))</f>
        <v>Toyota</v>
      </c>
      <c r="G484" t="str">
        <f t="shared" si="213"/>
        <v>Q4 Shop 1_Round Rock Toyota</v>
      </c>
      <c r="H484" s="30">
        <f t="shared" si="235"/>
        <v>4</v>
      </c>
      <c r="I484" s="30">
        <f t="shared" si="236"/>
        <v>4</v>
      </c>
      <c r="J484" s="110" t="s">
        <v>168</v>
      </c>
      <c r="L484" t="s">
        <v>466</v>
      </c>
      <c r="M484" t="s">
        <v>57</v>
      </c>
      <c r="N484" t="s">
        <v>57</v>
      </c>
      <c r="O484" t="s">
        <v>57</v>
      </c>
      <c r="P484" t="s">
        <v>57</v>
      </c>
    </row>
    <row r="485" spans="1:16">
      <c r="A485" s="23" t="str">
        <f t="shared" si="211"/>
        <v>Q4 Shop 1</v>
      </c>
      <c r="B485" s="36" t="str">
        <f t="shared" ref="B485:C485" si="260">B484</f>
        <v>Q4</v>
      </c>
      <c r="C485" s="33">
        <f t="shared" si="260"/>
        <v>1</v>
      </c>
      <c r="D485" t="str">
        <f t="shared" si="197"/>
        <v>BMW of Bloomfield Hills</v>
      </c>
      <c r="E485" t="str">
        <f>IF($J485="","",IFERROR(VLOOKUP($J485,KEY!$D$6:$F$76,3,FALSE),""))</f>
        <v>Michigan &amp; Minnesota</v>
      </c>
      <c r="F485" t="str">
        <f>IF($J485="","",IFERROR(VLOOKUP($J485,KEY!$D$6:$F$76,2,FALSE),""))</f>
        <v>BMW</v>
      </c>
      <c r="G485" t="str">
        <f t="shared" si="213"/>
        <v>Q4 Shop 1_BMW of Bloomfield Hills</v>
      </c>
      <c r="H485" s="30">
        <f t="shared" si="235"/>
        <v>4</v>
      </c>
      <c r="I485" s="30">
        <f t="shared" si="236"/>
        <v>3</v>
      </c>
      <c r="J485" s="110" t="s">
        <v>78</v>
      </c>
      <c r="L485" t="s">
        <v>502</v>
      </c>
      <c r="M485" t="s">
        <v>57</v>
      </c>
      <c r="N485" t="s">
        <v>57</v>
      </c>
      <c r="O485" t="s">
        <v>57</v>
      </c>
      <c r="P485" t="s">
        <v>56</v>
      </c>
    </row>
    <row r="486" spans="1:16">
      <c r="A486" s="23" t="str">
        <f t="shared" si="211"/>
        <v>Q4 Shop 1</v>
      </c>
      <c r="B486" s="36" t="str">
        <f t="shared" ref="B486:C486" si="261">B485</f>
        <v>Q4</v>
      </c>
      <c r="C486" s="33">
        <f t="shared" si="261"/>
        <v>1</v>
      </c>
      <c r="D486" t="str">
        <f t="shared" si="197"/>
        <v>East Madison Toyota</v>
      </c>
      <c r="E486" t="str">
        <f>IF($J486="","",IFERROR(VLOOKUP($J486,KEY!$D$6:$F$76,3,FALSE),""))</f>
        <v>Wisconsin</v>
      </c>
      <c r="F486" t="str">
        <f>IF($J486="","",IFERROR(VLOOKUP($J486,KEY!$D$6:$F$76,2,FALSE),""))</f>
        <v>Toyota</v>
      </c>
      <c r="G486" t="str">
        <f t="shared" si="213"/>
        <v>Q4 Shop 1_East Madison Toyota</v>
      </c>
      <c r="H486" s="30">
        <f t="shared" si="235"/>
        <v>4</v>
      </c>
      <c r="I486" s="30">
        <f t="shared" si="236"/>
        <v>3</v>
      </c>
      <c r="J486" s="110" t="s">
        <v>94</v>
      </c>
      <c r="L486" t="s">
        <v>424</v>
      </c>
      <c r="M486" t="s">
        <v>56</v>
      </c>
      <c r="N486" t="s">
        <v>57</v>
      </c>
      <c r="O486" t="s">
        <v>57</v>
      </c>
      <c r="P486" t="s">
        <v>57</v>
      </c>
    </row>
    <row r="487" spans="1:16">
      <c r="A487" s="23" t="str">
        <f t="shared" si="211"/>
        <v>Q4 Shop 1</v>
      </c>
      <c r="B487" s="36" t="str">
        <f t="shared" ref="B487:C487" si="262">B486</f>
        <v>Q4</v>
      </c>
      <c r="C487" s="33">
        <f t="shared" si="262"/>
        <v>1</v>
      </c>
      <c r="D487" t="str">
        <f t="shared" si="197"/>
        <v>Genesis of Noblesville</v>
      </c>
      <c r="E487" t="str">
        <f>IF($J487="","",IFERROR(VLOOKUP($J487,KEY!$D$6:$F$76,3,FALSE),""))</f>
        <v/>
      </c>
      <c r="F487" t="str">
        <f>IF($J487="","",IFERROR(VLOOKUP($J487,KEY!$D$6:$F$76,2,FALSE),""))</f>
        <v/>
      </c>
      <c r="G487" t="str">
        <f t="shared" si="213"/>
        <v>Q4 Shop 1_Genesis of Noblesville</v>
      </c>
      <c r="H487" s="30">
        <f t="shared" si="235"/>
        <v>4</v>
      </c>
      <c r="I487" s="30">
        <f t="shared" si="236"/>
        <v>4</v>
      </c>
      <c r="J487" s="110" t="s">
        <v>96</v>
      </c>
      <c r="L487" t="s">
        <v>503</v>
      </c>
      <c r="M487" t="s">
        <v>57</v>
      </c>
      <c r="N487" t="s">
        <v>57</v>
      </c>
      <c r="O487" t="s">
        <v>57</v>
      </c>
      <c r="P487" t="s">
        <v>57</v>
      </c>
    </row>
    <row r="488" spans="1:16">
      <c r="A488" s="23" t="str">
        <f t="shared" si="211"/>
        <v>Q4 Shop 1</v>
      </c>
      <c r="B488" s="36" t="str">
        <f t="shared" ref="B488:C488" si="263">B487</f>
        <v>Q4</v>
      </c>
      <c r="C488" s="33">
        <f t="shared" si="263"/>
        <v>1</v>
      </c>
      <c r="D488" t="str">
        <f t="shared" si="197"/>
        <v>Hyundai of Noblesville</v>
      </c>
      <c r="E488" t="str">
        <f>IF($J488="","",IFERROR(VLOOKUP($J488,KEY!$D$6:$F$76,3,FALSE),""))</f>
        <v/>
      </c>
      <c r="F488" t="str">
        <f>IF($J488="","",IFERROR(VLOOKUP($J488,KEY!$D$6:$F$76,2,FALSE),""))</f>
        <v/>
      </c>
      <c r="G488" t="str">
        <f t="shared" si="213"/>
        <v>Q4 Shop 1_Hyundai of Noblesville</v>
      </c>
      <c r="H488" s="30">
        <f t="shared" si="235"/>
        <v>4</v>
      </c>
      <c r="I488" s="30">
        <f t="shared" si="236"/>
        <v>3</v>
      </c>
      <c r="J488" s="110" t="s">
        <v>106</v>
      </c>
      <c r="L488" t="s">
        <v>504</v>
      </c>
      <c r="M488" t="s">
        <v>57</v>
      </c>
      <c r="N488" t="s">
        <v>57</v>
      </c>
      <c r="O488" t="s">
        <v>57</v>
      </c>
      <c r="P488" t="s">
        <v>56</v>
      </c>
    </row>
    <row r="489" spans="1:16">
      <c r="A489" s="23" t="str">
        <f t="shared" si="211"/>
        <v>Q4 Shop 1</v>
      </c>
      <c r="B489" s="36" t="str">
        <f t="shared" ref="B489:C489" si="264">B488</f>
        <v>Q4</v>
      </c>
      <c r="C489" s="33">
        <f t="shared" si="264"/>
        <v>1</v>
      </c>
      <c r="D489" t="str">
        <f t="shared" si="197"/>
        <v>Motorwerks BMW</v>
      </c>
      <c r="E489" t="str">
        <f>IF($J489="","",IFERROR(VLOOKUP($J489,KEY!$D$6:$F$76,3,FALSE),""))</f>
        <v>Michigan &amp; Minnesota</v>
      </c>
      <c r="F489" t="str">
        <f>IF($J489="","",IFERROR(VLOOKUP($J489,KEY!$D$6:$F$76,2,FALSE),""))</f>
        <v>BMW</v>
      </c>
      <c r="G489" t="str">
        <f t="shared" si="213"/>
        <v>Q4 Shop 1_Motorwerks BMW</v>
      </c>
      <c r="H489" s="30">
        <f t="shared" si="235"/>
        <v>4</v>
      </c>
      <c r="I489" s="30">
        <f t="shared" si="236"/>
        <v>3</v>
      </c>
      <c r="J489" s="110" t="s">
        <v>150</v>
      </c>
      <c r="L489" t="s">
        <v>505</v>
      </c>
      <c r="M489" t="s">
        <v>57</v>
      </c>
      <c r="N489" t="s">
        <v>57</v>
      </c>
      <c r="O489" t="s">
        <v>57</v>
      </c>
      <c r="P489" t="s">
        <v>56</v>
      </c>
    </row>
    <row r="490" spans="1:16">
      <c r="A490" s="23" t="str">
        <f t="shared" si="211"/>
        <v>Q4 Shop 1</v>
      </c>
      <c r="B490" s="36" t="str">
        <f t="shared" ref="B490:C490" si="265">B489</f>
        <v>Q4</v>
      </c>
      <c r="C490" s="33">
        <f t="shared" si="265"/>
        <v>1</v>
      </c>
      <c r="D490" t="str">
        <f t="shared" si="197"/>
        <v>Motorwerks MINI</v>
      </c>
      <c r="E490" t="str">
        <f>IF($J490="","",IFERROR(VLOOKUP($J490,KEY!$D$6:$F$76,3,FALSE),""))</f>
        <v>Michigan &amp; Minnesota</v>
      </c>
      <c r="F490" t="str">
        <f>IF($J490="","",IFERROR(VLOOKUP($J490,KEY!$D$6:$F$76,2,FALSE),""))</f>
        <v>MINI</v>
      </c>
      <c r="G490" t="str">
        <f t="shared" si="213"/>
        <v>Q4 Shop 1_Motorwerks MINI</v>
      </c>
      <c r="H490" s="30">
        <f t="shared" si="235"/>
        <v>4</v>
      </c>
      <c r="I490" s="30">
        <f t="shared" si="236"/>
        <v>4</v>
      </c>
      <c r="J490" s="110" t="s">
        <v>152</v>
      </c>
      <c r="L490" t="s">
        <v>506</v>
      </c>
      <c r="M490" t="s">
        <v>57</v>
      </c>
      <c r="N490" t="s">
        <v>57</v>
      </c>
      <c r="O490" t="s">
        <v>57</v>
      </c>
      <c r="P490" t="s">
        <v>57</v>
      </c>
    </row>
    <row r="491" spans="1:16">
      <c r="A491" s="23" t="str">
        <f t="shared" si="211"/>
        <v>Q4 Shop 1</v>
      </c>
      <c r="B491" s="36" t="str">
        <f t="shared" ref="B491:C491" si="266">B490</f>
        <v>Q4</v>
      </c>
      <c r="C491" s="33">
        <f t="shared" si="266"/>
        <v>1</v>
      </c>
      <c r="D491" t="str">
        <f t="shared" si="197"/>
        <v>Penske Honda</v>
      </c>
      <c r="E491" t="str">
        <f>IF($J491="","",IFERROR(VLOOKUP($J491,KEY!$D$6:$F$76,3,FALSE),""))</f>
        <v>Indiana</v>
      </c>
      <c r="F491" t="str">
        <f>IF($J491="","",IFERROR(VLOOKUP($J491,KEY!$D$6:$F$76,2,FALSE),""))</f>
        <v>Honda</v>
      </c>
      <c r="G491" t="str">
        <f t="shared" si="213"/>
        <v>Q4 Shop 1_Penske Honda</v>
      </c>
      <c r="H491" s="30">
        <f t="shared" si="235"/>
        <v>4</v>
      </c>
      <c r="I491" s="30">
        <f t="shared" si="236"/>
        <v>3</v>
      </c>
      <c r="J491" s="110" t="s">
        <v>156</v>
      </c>
      <c r="L491" t="s">
        <v>507</v>
      </c>
      <c r="M491" t="s">
        <v>57</v>
      </c>
      <c r="N491" t="s">
        <v>57</v>
      </c>
      <c r="O491" t="s">
        <v>57</v>
      </c>
      <c r="P491" t="s">
        <v>56</v>
      </c>
    </row>
    <row r="492" spans="1:16">
      <c r="A492" s="23" t="str">
        <f t="shared" si="211"/>
        <v>Q4 Shop 1</v>
      </c>
      <c r="B492" s="36" t="str">
        <f t="shared" ref="B492:C492" si="267">B491</f>
        <v>Q4</v>
      </c>
      <c r="C492" s="33">
        <f t="shared" si="267"/>
        <v>1</v>
      </c>
      <c r="D492" t="str">
        <f t="shared" si="197"/>
        <v>Penske Chevrolet</v>
      </c>
      <c r="E492" t="str">
        <f>IF($J492="","",IFERROR(VLOOKUP($J492,KEY!$D$6:$F$76,3,FALSE),""))</f>
        <v>Indiana</v>
      </c>
      <c r="F492" t="str">
        <f>IF($J492="","",IFERROR(VLOOKUP($J492,KEY!$D$6:$F$76,2,FALSE),""))</f>
        <v>Chevrolet</v>
      </c>
      <c r="G492" t="str">
        <f t="shared" si="213"/>
        <v>Q4 Shop 1_Penske Chevrolet</v>
      </c>
      <c r="H492" s="30">
        <f t="shared" si="235"/>
        <v>4</v>
      </c>
      <c r="I492" s="30">
        <f t="shared" si="236"/>
        <v>4</v>
      </c>
      <c r="J492" s="110" t="s">
        <v>154</v>
      </c>
      <c r="L492" t="s">
        <v>344</v>
      </c>
      <c r="M492" t="s">
        <v>57</v>
      </c>
      <c r="N492" t="s">
        <v>57</v>
      </c>
      <c r="O492" t="s">
        <v>57</v>
      </c>
      <c r="P492" t="s">
        <v>57</v>
      </c>
    </row>
    <row r="493" spans="1:16">
      <c r="A493" s="23" t="str">
        <f t="shared" si="211"/>
        <v>Q4 Shop 1</v>
      </c>
      <c r="B493" s="36" t="str">
        <f t="shared" ref="B493:C493" si="268">B492</f>
        <v>Q4</v>
      </c>
      <c r="C493" s="33">
        <f t="shared" si="268"/>
        <v>1</v>
      </c>
      <c r="D493" t="str">
        <f t="shared" si="197"/>
        <v/>
      </c>
      <c r="E493" t="str">
        <f>IF($J493="","",IFERROR(VLOOKUP($J493,KEY!$D$6:$F$76,3,FALSE),""))</f>
        <v/>
      </c>
      <c r="F493" t="str">
        <f>IF($J493="","",IFERROR(VLOOKUP($J493,KEY!$D$6:$F$76,2,FALSE),""))</f>
        <v/>
      </c>
      <c r="G493" t="str">
        <f t="shared" si="213"/>
        <v/>
      </c>
      <c r="H493" s="30" t="str">
        <f t="shared" ref="H493:H498" si="269">IF($J493="","",COUNTIF($M493:$V493,"*"))</f>
        <v/>
      </c>
      <c r="I493" s="30" t="str">
        <f t="shared" ref="I493:I498" si="270">IF($J493="","",COUNTIF($M493:$V493,"YES*"))</f>
        <v/>
      </c>
      <c r="J493" s="110"/>
    </row>
    <row r="494" spans="1:16">
      <c r="A494" s="23" t="str">
        <f t="shared" si="211"/>
        <v>Q4 Shop 1</v>
      </c>
      <c r="B494" s="36" t="str">
        <f t="shared" ref="B494:C494" si="271">B493</f>
        <v>Q4</v>
      </c>
      <c r="C494" s="33">
        <f t="shared" si="271"/>
        <v>1</v>
      </c>
      <c r="D494" t="str">
        <f t="shared" si="197"/>
        <v/>
      </c>
      <c r="E494" t="str">
        <f>IF($J494="","",IFERROR(VLOOKUP($J494,KEY!$D$6:$F$76,3,FALSE),""))</f>
        <v/>
      </c>
      <c r="F494" t="str">
        <f>IF($J494="","",IFERROR(VLOOKUP($J494,KEY!$D$6:$F$76,2,FALSE),""))</f>
        <v/>
      </c>
      <c r="G494" t="str">
        <f t="shared" si="213"/>
        <v/>
      </c>
      <c r="H494" s="30" t="str">
        <f t="shared" si="269"/>
        <v/>
      </c>
      <c r="I494" s="30" t="str">
        <f t="shared" si="270"/>
        <v/>
      </c>
      <c r="J494" s="110"/>
    </row>
    <row r="495" spans="1:16">
      <c r="A495" s="23" t="str">
        <f t="shared" si="196"/>
        <v>Q4 Shop 1</v>
      </c>
      <c r="B495" s="36" t="str">
        <f t="shared" ref="B495:C495" si="272">B494</f>
        <v>Q4</v>
      </c>
      <c r="C495" s="33">
        <f t="shared" si="272"/>
        <v>1</v>
      </c>
      <c r="D495" t="str">
        <f t="shared" si="197"/>
        <v/>
      </c>
      <c r="E495" t="str">
        <f>IF($J495="","",IFERROR(VLOOKUP($J495,KEY!$D$6:$F$76,3,FALSE),""))</f>
        <v/>
      </c>
      <c r="F495" t="str">
        <f>IF($J495="","",IFERROR(VLOOKUP($J495,KEY!$D$6:$F$76,2,FALSE),""))</f>
        <v/>
      </c>
      <c r="G495" t="str">
        <f t="shared" si="198"/>
        <v/>
      </c>
      <c r="H495" s="30" t="str">
        <f t="shared" si="269"/>
        <v/>
      </c>
      <c r="I495" s="30" t="str">
        <f t="shared" si="270"/>
        <v/>
      </c>
      <c r="J495" s="110"/>
    </row>
    <row r="496" spans="1:16">
      <c r="A496" s="23" t="str">
        <f t="shared" si="196"/>
        <v>Q4 Shop 1</v>
      </c>
      <c r="B496" s="36" t="str">
        <f t="shared" ref="B496:C496" si="273">B495</f>
        <v>Q4</v>
      </c>
      <c r="C496" s="33">
        <f t="shared" si="273"/>
        <v>1</v>
      </c>
      <c r="D496" t="str">
        <f t="shared" si="197"/>
        <v/>
      </c>
      <c r="E496" t="str">
        <f>IF($J496="","",IFERROR(VLOOKUP($J496,KEY!$D$6:$F$76,3,FALSE),""))</f>
        <v/>
      </c>
      <c r="F496" t="str">
        <f>IF($J496="","",IFERROR(VLOOKUP($J496,KEY!$D$6:$F$76,2,FALSE),""))</f>
        <v/>
      </c>
      <c r="G496" t="str">
        <f t="shared" si="198"/>
        <v/>
      </c>
      <c r="H496" s="30" t="str">
        <f t="shared" si="269"/>
        <v/>
      </c>
      <c r="I496" s="30" t="str">
        <f t="shared" si="270"/>
        <v/>
      </c>
      <c r="J496" s="110"/>
    </row>
    <row r="497" spans="1:22">
      <c r="A497" s="23" t="str">
        <f t="shared" si="196"/>
        <v>Q4 Shop 1</v>
      </c>
      <c r="B497" s="36" t="str">
        <f t="shared" ref="B497:C497" si="274">B496</f>
        <v>Q4</v>
      </c>
      <c r="C497" s="33">
        <f t="shared" si="274"/>
        <v>1</v>
      </c>
      <c r="D497" t="str">
        <f t="shared" si="197"/>
        <v/>
      </c>
      <c r="E497" t="str">
        <f>IF($J497="","",IFERROR(VLOOKUP($J497,KEY!$D$6:$F$76,3,FALSE),""))</f>
        <v/>
      </c>
      <c r="F497" t="str">
        <f>IF($J497="","",IFERROR(VLOOKUP($J497,KEY!$D$6:$F$76,2,FALSE),""))</f>
        <v/>
      </c>
      <c r="G497" t="str">
        <f t="shared" si="198"/>
        <v/>
      </c>
      <c r="H497" s="30" t="str">
        <f t="shared" si="269"/>
        <v/>
      </c>
      <c r="I497" s="30" t="str">
        <f t="shared" si="270"/>
        <v/>
      </c>
      <c r="J497" s="110"/>
    </row>
    <row r="498" spans="1:22">
      <c r="A498" s="23" t="str">
        <f t="shared" si="196"/>
        <v>Q4 Shop 1</v>
      </c>
      <c r="B498" s="36" t="str">
        <f t="shared" ref="B498:C498" si="275">B497</f>
        <v>Q4</v>
      </c>
      <c r="C498" s="33">
        <f t="shared" si="275"/>
        <v>1</v>
      </c>
      <c r="D498" t="str">
        <f t="shared" si="197"/>
        <v/>
      </c>
      <c r="E498" t="str">
        <f>IF($J498="","",IFERROR(VLOOKUP($J498,KEY!$D$6:$F$76,3,FALSE),""))</f>
        <v/>
      </c>
      <c r="F498" t="str">
        <f>IF($J498="","",IFERROR(VLOOKUP($J498,KEY!$D$6:$F$76,2,FALSE),""))</f>
        <v/>
      </c>
      <c r="G498" t="str">
        <f t="shared" si="198"/>
        <v/>
      </c>
      <c r="H498" s="30" t="str">
        <f t="shared" si="269"/>
        <v/>
      </c>
      <c r="I498" s="30" t="str">
        <f t="shared" si="270"/>
        <v/>
      </c>
      <c r="J498" s="110"/>
    </row>
    <row r="499" spans="1:22" ht="8.1" customHeight="1">
      <c r="A499" s="32"/>
      <c r="B499" s="37"/>
      <c r="C499" s="38"/>
      <c r="D499" s="32"/>
      <c r="E499" s="32"/>
      <c r="F499" s="32"/>
      <c r="G499" s="32" t="str">
        <f>A499&amp;"_"&amp;D499</f>
        <v>_</v>
      </c>
      <c r="H499" s="32"/>
      <c r="I499" s="32"/>
      <c r="J499" s="111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</row>
    <row r="500" spans="1:22">
      <c r="A500" s="23" t="str">
        <f t="shared" ref="A500:A569" si="276">B500&amp;" Shop "&amp;C500</f>
        <v>Q4 Shop 2</v>
      </c>
      <c r="B500" s="36" t="s">
        <v>473</v>
      </c>
      <c r="C500" s="33">
        <v>2</v>
      </c>
      <c r="D500" t="str">
        <f t="shared" ref="D500:D569" si="277">IF($J500="","",$J500)</f>
        <v>Acura North Scottsdale</v>
      </c>
      <c r="E500" t="str">
        <f>IF($J500="","",IFERROR(VLOOKUP($J500,KEY!$D$6:$F$76,3,FALSE),""))</f>
        <v>Arizona</v>
      </c>
      <c r="F500" t="str">
        <f>IF($J500="","",IFERROR(VLOOKUP($J500,KEY!$D$6:$F$76,2,FALSE),""))</f>
        <v>Acura</v>
      </c>
      <c r="G500" t="str">
        <f t="shared" ref="G500:G569" si="278">IF($J500="","",A500&amp;"_"&amp;D500)</f>
        <v>Q4 Shop 2_Acura North Scottsdale</v>
      </c>
      <c r="H500" s="30">
        <f t="shared" ref="H500:H531" si="279">IF($J500="","",COUNTIF($M500:$V500,"*"))</f>
        <v>4</v>
      </c>
      <c r="I500" s="30">
        <f t="shared" ref="I500:I531" si="280">IF($J500="","",COUNTIF($M500:$V500,"YES*"))</f>
        <v>4</v>
      </c>
      <c r="J500" s="110" t="s">
        <v>35</v>
      </c>
      <c r="L500" t="s">
        <v>313</v>
      </c>
      <c r="M500" t="s">
        <v>57</v>
      </c>
      <c r="N500" t="s">
        <v>57</v>
      </c>
      <c r="O500" t="s">
        <v>57</v>
      </c>
      <c r="P500" t="s">
        <v>57</v>
      </c>
    </row>
    <row r="501" spans="1:22">
      <c r="A501" s="23" t="str">
        <f t="shared" si="276"/>
        <v>Q4 Shop 2</v>
      </c>
      <c r="B501" s="36" t="str">
        <f t="shared" ref="B501:C501" si="281">B500</f>
        <v>Q4</v>
      </c>
      <c r="C501" s="33">
        <f t="shared" si="281"/>
        <v>2</v>
      </c>
      <c r="D501" t="str">
        <f t="shared" si="277"/>
        <v>Audi Chandler</v>
      </c>
      <c r="E501" t="str">
        <f>IF($J501="","",IFERROR(VLOOKUP($J501,KEY!$D$6:$F$76,3,FALSE),""))</f>
        <v>Arizona</v>
      </c>
      <c r="F501" t="str">
        <f>IF($J501="","",IFERROR(VLOOKUP($J501,KEY!$D$6:$F$76,2,FALSE),""))</f>
        <v>Audi</v>
      </c>
      <c r="G501" t="str">
        <f t="shared" si="278"/>
        <v>Q4 Shop 2_Audi Chandler</v>
      </c>
      <c r="H501" s="30">
        <f t="shared" si="279"/>
        <v>4</v>
      </c>
      <c r="I501" s="30">
        <f t="shared" si="280"/>
        <v>4</v>
      </c>
      <c r="J501" s="110" t="s">
        <v>60</v>
      </c>
      <c r="L501" t="s">
        <v>474</v>
      </c>
      <c r="M501" t="s">
        <v>57</v>
      </c>
      <c r="N501" t="s">
        <v>57</v>
      </c>
      <c r="O501" t="s">
        <v>57</v>
      </c>
      <c r="P501" t="s">
        <v>57</v>
      </c>
    </row>
    <row r="502" spans="1:22">
      <c r="A502" s="23" t="str">
        <f t="shared" si="276"/>
        <v>Q4 Shop 2</v>
      </c>
      <c r="B502" s="36" t="str">
        <f t="shared" ref="B502:C502" si="282">B501</f>
        <v>Q4</v>
      </c>
      <c r="C502" s="33">
        <f t="shared" si="282"/>
        <v>2</v>
      </c>
      <c r="D502" t="str">
        <f t="shared" si="277"/>
        <v>Audi North Scottsdale</v>
      </c>
      <c r="E502" t="str">
        <f>IF($J502="","",IFERROR(VLOOKUP($J502,KEY!$D$6:$F$76,3,FALSE),""))</f>
        <v>Arizona</v>
      </c>
      <c r="F502" t="str">
        <f>IF($J502="","",IFERROR(VLOOKUP($J502,KEY!$D$6:$F$76,2,FALSE),""))</f>
        <v>Audi</v>
      </c>
      <c r="G502" t="str">
        <f t="shared" si="278"/>
        <v>Q4 Shop 2_Audi North Scottsdale</v>
      </c>
      <c r="H502" s="30">
        <f t="shared" si="279"/>
        <v>4</v>
      </c>
      <c r="I502" s="30">
        <f t="shared" si="280"/>
        <v>4</v>
      </c>
      <c r="J502" s="110" t="s">
        <v>66</v>
      </c>
      <c r="L502" t="s">
        <v>475</v>
      </c>
      <c r="M502" t="s">
        <v>57</v>
      </c>
      <c r="N502" t="s">
        <v>57</v>
      </c>
      <c r="O502" t="s">
        <v>57</v>
      </c>
      <c r="P502" t="s">
        <v>57</v>
      </c>
    </row>
    <row r="503" spans="1:22">
      <c r="A503" s="23" t="str">
        <f t="shared" si="276"/>
        <v>Q4 Shop 2</v>
      </c>
      <c r="B503" s="36" t="str">
        <f t="shared" ref="B503:C503" si="283">B502</f>
        <v>Q4</v>
      </c>
      <c r="C503" s="33">
        <f t="shared" si="283"/>
        <v>2</v>
      </c>
      <c r="D503" t="str">
        <f t="shared" si="277"/>
        <v>Bentley Scottsdale</v>
      </c>
      <c r="E503" t="str">
        <f>IF($J503="","",IFERROR(VLOOKUP($J503,KEY!$D$6:$F$76,3,FALSE),""))</f>
        <v>Arizona</v>
      </c>
      <c r="F503" t="str">
        <f>IF($J503="","",IFERROR(VLOOKUP($J503,KEY!$D$6:$F$76,2,FALSE),""))</f>
        <v>Ultra</v>
      </c>
      <c r="G503" t="str">
        <f t="shared" si="278"/>
        <v>Q4 Shop 2_Bentley Scottsdale</v>
      </c>
      <c r="H503" s="30">
        <f t="shared" si="279"/>
        <v>4</v>
      </c>
      <c r="I503" s="30">
        <f t="shared" si="280"/>
        <v>4</v>
      </c>
      <c r="J503" s="110" t="s">
        <v>72</v>
      </c>
      <c r="L503" t="s">
        <v>508</v>
      </c>
      <c r="M503" t="s">
        <v>57</v>
      </c>
      <c r="N503" t="s">
        <v>57</v>
      </c>
      <c r="O503" t="s">
        <v>57</v>
      </c>
      <c r="P503" t="s">
        <v>57</v>
      </c>
    </row>
    <row r="504" spans="1:22">
      <c r="A504" s="23" t="str">
        <f t="shared" si="276"/>
        <v>Q4 Shop 2</v>
      </c>
      <c r="B504" s="36" t="str">
        <f t="shared" ref="B504:C504" si="284">B503</f>
        <v>Q4</v>
      </c>
      <c r="C504" s="33">
        <f t="shared" si="284"/>
        <v>2</v>
      </c>
      <c r="D504" t="str">
        <f t="shared" si="277"/>
        <v>BMW North Scottsdale</v>
      </c>
      <c r="E504" t="str">
        <f>IF($J504="","",IFERROR(VLOOKUP($J504,KEY!$D$6:$F$76,3,FALSE),""))</f>
        <v>Arizona</v>
      </c>
      <c r="F504" t="str">
        <f>IF($J504="","",IFERROR(VLOOKUP($J504,KEY!$D$6:$F$76,2,FALSE),""))</f>
        <v>BMW</v>
      </c>
      <c r="G504" t="str">
        <f t="shared" si="278"/>
        <v>Q4 Shop 2_BMW North Scottsdale</v>
      </c>
      <c r="H504" s="30">
        <f t="shared" si="279"/>
        <v>4</v>
      </c>
      <c r="I504" s="30">
        <f t="shared" si="280"/>
        <v>4</v>
      </c>
      <c r="J504" s="110" t="s">
        <v>74</v>
      </c>
      <c r="L504" t="s">
        <v>476</v>
      </c>
      <c r="M504" t="s">
        <v>57</v>
      </c>
      <c r="N504" t="s">
        <v>57</v>
      </c>
      <c r="O504" t="s">
        <v>57</v>
      </c>
      <c r="P504" t="s">
        <v>57</v>
      </c>
    </row>
    <row r="505" spans="1:22">
      <c r="A505" s="23" t="str">
        <f t="shared" si="276"/>
        <v>Q4 Shop 2</v>
      </c>
      <c r="B505" s="36" t="str">
        <f t="shared" ref="B505:C505" si="285">B504</f>
        <v>Q4</v>
      </c>
      <c r="C505" s="33">
        <f t="shared" si="285"/>
        <v>2</v>
      </c>
      <c r="D505" t="str">
        <f t="shared" si="277"/>
        <v>Lamborghini North Scottsdale</v>
      </c>
      <c r="E505" t="str">
        <f>IF($J505="","",IFERROR(VLOOKUP($J505,KEY!$D$6:$F$76,3,FALSE),""))</f>
        <v>Arizona</v>
      </c>
      <c r="F505" t="str">
        <f>IF($J505="","",IFERROR(VLOOKUP($J505,KEY!$D$6:$F$76,2,FALSE),""))</f>
        <v>Ultra</v>
      </c>
      <c r="G505" t="str">
        <f t="shared" si="278"/>
        <v>Q4 Shop 2_Lamborghini North Scottsdale</v>
      </c>
      <c r="H505" s="30">
        <f t="shared" si="279"/>
        <v>4</v>
      </c>
      <c r="I505" s="30">
        <f t="shared" si="280"/>
        <v>2</v>
      </c>
      <c r="J505" s="110" t="s">
        <v>114</v>
      </c>
      <c r="L505" t="s">
        <v>380</v>
      </c>
      <c r="M505" t="s">
        <v>57</v>
      </c>
      <c r="N505" t="s">
        <v>57</v>
      </c>
      <c r="O505" t="s">
        <v>56</v>
      </c>
      <c r="P505" t="s">
        <v>56</v>
      </c>
    </row>
    <row r="506" spans="1:22">
      <c r="A506" s="23" t="str">
        <f t="shared" si="276"/>
        <v>Q4 Shop 2</v>
      </c>
      <c r="B506" s="36" t="str">
        <f t="shared" ref="B506:C506" si="286">B505</f>
        <v>Q4</v>
      </c>
      <c r="C506" s="33">
        <f t="shared" si="286"/>
        <v>2</v>
      </c>
      <c r="D506" t="str">
        <f t="shared" si="277"/>
        <v>Land Rover Chandler</v>
      </c>
      <c r="E506" t="str">
        <f>IF($J506="","",IFERROR(VLOOKUP($J506,KEY!$D$6:$F$76,3,FALSE),""))</f>
        <v>Arizona</v>
      </c>
      <c r="F506" t="str">
        <f>IF($J506="","",IFERROR(VLOOKUP($J506,KEY!$D$6:$F$76,2,FALSE),""))</f>
        <v>LR</v>
      </c>
      <c r="G506" t="str">
        <f t="shared" si="278"/>
        <v>Q4 Shop 2_Land Rover Chandler</v>
      </c>
      <c r="H506" s="30">
        <f t="shared" si="279"/>
        <v>4</v>
      </c>
      <c r="I506" s="30">
        <f t="shared" si="280"/>
        <v>4</v>
      </c>
      <c r="J506" s="110" t="s">
        <v>116</v>
      </c>
      <c r="L506" t="s">
        <v>509</v>
      </c>
      <c r="M506" t="s">
        <v>57</v>
      </c>
      <c r="N506" t="s">
        <v>57</v>
      </c>
      <c r="O506" t="s">
        <v>57</v>
      </c>
      <c r="P506" t="s">
        <v>57</v>
      </c>
    </row>
    <row r="507" spans="1:22">
      <c r="A507" s="23" t="str">
        <f t="shared" si="276"/>
        <v>Q4 Shop 2</v>
      </c>
      <c r="B507" s="36" t="str">
        <f t="shared" ref="B507:C507" si="287">B506</f>
        <v>Q4</v>
      </c>
      <c r="C507" s="33">
        <f t="shared" si="287"/>
        <v>2</v>
      </c>
      <c r="D507" t="str">
        <f t="shared" si="277"/>
        <v>Land Rover North Scottsdale</v>
      </c>
      <c r="E507" t="str">
        <f>IF($J507="","",IFERROR(VLOOKUP($J507,KEY!$D$6:$F$76,3,FALSE),""))</f>
        <v>Arizona</v>
      </c>
      <c r="F507" t="str">
        <f>IF($J507="","",IFERROR(VLOOKUP($J507,KEY!$D$6:$F$76,2,FALSE),""))</f>
        <v>LR</v>
      </c>
      <c r="G507" t="str">
        <f t="shared" si="278"/>
        <v>Q4 Shop 2_Land Rover North Scottsdale</v>
      </c>
      <c r="H507" s="30">
        <f t="shared" si="279"/>
        <v>4</v>
      </c>
      <c r="I507" s="30">
        <f t="shared" si="280"/>
        <v>4</v>
      </c>
      <c r="J507" s="110" t="s">
        <v>118</v>
      </c>
      <c r="L507" t="s">
        <v>382</v>
      </c>
      <c r="M507" t="s">
        <v>57</v>
      </c>
      <c r="N507" t="s">
        <v>57</v>
      </c>
      <c r="O507" t="s">
        <v>57</v>
      </c>
      <c r="P507" t="s">
        <v>57</v>
      </c>
    </row>
    <row r="508" spans="1:22">
      <c r="A508" s="23" t="str">
        <f t="shared" si="276"/>
        <v>Q4 Shop 2</v>
      </c>
      <c r="B508" s="36" t="str">
        <f t="shared" ref="B508:C508" si="288">B507</f>
        <v>Q4</v>
      </c>
      <c r="C508" s="33">
        <f t="shared" si="288"/>
        <v>2</v>
      </c>
      <c r="D508" t="str">
        <f t="shared" si="277"/>
        <v>Lexus of Chandler</v>
      </c>
      <c r="E508" t="str">
        <f>IF($J508="","",IFERROR(VLOOKUP($J508,KEY!$D$6:$F$76,3,FALSE),""))</f>
        <v>Arizona</v>
      </c>
      <c r="F508" t="str">
        <f>IF($J508="","",IFERROR(VLOOKUP($J508,KEY!$D$6:$F$76,2,FALSE),""))</f>
        <v>Lexus</v>
      </c>
      <c r="G508" t="str">
        <f t="shared" si="278"/>
        <v>Q4 Shop 2_Lexus of Chandler</v>
      </c>
      <c r="H508" s="30">
        <f t="shared" si="279"/>
        <v>4</v>
      </c>
      <c r="I508" s="30">
        <f t="shared" si="280"/>
        <v>4</v>
      </c>
      <c r="J508" s="110" t="s">
        <v>122</v>
      </c>
      <c r="L508" t="s">
        <v>510</v>
      </c>
      <c r="M508" t="s">
        <v>57</v>
      </c>
      <c r="N508" t="s">
        <v>57</v>
      </c>
      <c r="O508" t="s">
        <v>57</v>
      </c>
      <c r="P508" t="s">
        <v>57</v>
      </c>
    </row>
    <row r="509" spans="1:22">
      <c r="A509" s="23" t="str">
        <f t="shared" si="276"/>
        <v>Q4 Shop 2</v>
      </c>
      <c r="B509" s="36" t="str">
        <f t="shared" ref="B509:C509" si="289">B508</f>
        <v>Q4</v>
      </c>
      <c r="C509" s="33">
        <f t="shared" si="289"/>
        <v>2</v>
      </c>
      <c r="D509" t="str">
        <f t="shared" si="277"/>
        <v>Mercedes-Benz of Chandler</v>
      </c>
      <c r="E509" t="str">
        <f>IF($J509="","",IFERROR(VLOOKUP($J509,KEY!$D$6:$F$76,3,FALSE),""))</f>
        <v>Arizona</v>
      </c>
      <c r="F509" t="str">
        <f>IF($J509="","",IFERROR(VLOOKUP($J509,KEY!$D$6:$F$76,2,FALSE),""))</f>
        <v>Mercedes-Benz</v>
      </c>
      <c r="G509" t="str">
        <f t="shared" si="278"/>
        <v>Q4 Shop 2_Mercedes-Benz of Chandler</v>
      </c>
      <c r="H509" s="30">
        <f t="shared" si="279"/>
        <v>4</v>
      </c>
      <c r="I509" s="30">
        <f t="shared" si="280"/>
        <v>4</v>
      </c>
      <c r="J509" s="110" t="s">
        <v>132</v>
      </c>
      <c r="L509" t="s">
        <v>384</v>
      </c>
      <c r="M509" t="s">
        <v>57</v>
      </c>
      <c r="N509" t="s">
        <v>57</v>
      </c>
      <c r="O509" t="s">
        <v>57</v>
      </c>
      <c r="P509" t="s">
        <v>57</v>
      </c>
    </row>
    <row r="510" spans="1:22">
      <c r="A510" s="23" t="str">
        <f t="shared" si="276"/>
        <v>Q4 Shop 2</v>
      </c>
      <c r="B510" s="36" t="str">
        <f t="shared" ref="B510:C510" si="290">B509</f>
        <v>Q4</v>
      </c>
      <c r="C510" s="33">
        <f t="shared" si="290"/>
        <v>2</v>
      </c>
      <c r="D510" t="str">
        <f t="shared" si="277"/>
        <v>Mercedes-Benz of North Scottsdale</v>
      </c>
      <c r="E510" t="str">
        <f>IF($J510="","",IFERROR(VLOOKUP($J510,KEY!$D$6:$F$76,3,FALSE),""))</f>
        <v>Arizona</v>
      </c>
      <c r="F510" t="str">
        <f>IF($J510="","",IFERROR(VLOOKUP($J510,KEY!$D$6:$F$76,2,FALSE),""))</f>
        <v>Mercedes-Benz</v>
      </c>
      <c r="G510" t="str">
        <f t="shared" si="278"/>
        <v>Q4 Shop 2_Mercedes-Benz of North Scottsdale</v>
      </c>
      <c r="H510" s="30">
        <f t="shared" si="279"/>
        <v>4</v>
      </c>
      <c r="I510" s="30">
        <f t="shared" si="280"/>
        <v>4</v>
      </c>
      <c r="J510" s="110" t="s">
        <v>134</v>
      </c>
      <c r="L510" t="s">
        <v>511</v>
      </c>
      <c r="M510" t="s">
        <v>57</v>
      </c>
      <c r="N510" t="s">
        <v>57</v>
      </c>
      <c r="O510" t="s">
        <v>57</v>
      </c>
      <c r="P510" t="s">
        <v>57</v>
      </c>
    </row>
    <row r="511" spans="1:22">
      <c r="A511" s="23" t="str">
        <f t="shared" si="276"/>
        <v>Q4 Shop 2</v>
      </c>
      <c r="B511" s="36" t="str">
        <f t="shared" ref="B511:C511" si="291">B510</f>
        <v>Q4</v>
      </c>
      <c r="C511" s="33">
        <f t="shared" si="291"/>
        <v>2</v>
      </c>
      <c r="D511" t="str">
        <f t="shared" si="277"/>
        <v>MINI North Scottsdale</v>
      </c>
      <c r="E511" t="str">
        <f>IF($J511="","",IFERROR(VLOOKUP($J511,KEY!$D$6:$F$76,3,FALSE),""))</f>
        <v>Arizona</v>
      </c>
      <c r="F511" t="str">
        <f>IF($J511="","",IFERROR(VLOOKUP($J511,KEY!$D$6:$F$76,2,FALSE),""))</f>
        <v>MINI</v>
      </c>
      <c r="G511" t="str">
        <f t="shared" si="278"/>
        <v>Q4 Shop 2_MINI North Scottsdale</v>
      </c>
      <c r="H511" s="30">
        <f t="shared" si="279"/>
        <v>4</v>
      </c>
      <c r="I511" s="30">
        <f t="shared" si="280"/>
        <v>4</v>
      </c>
      <c r="J511" s="110" t="s">
        <v>138</v>
      </c>
      <c r="L511" t="s">
        <v>324</v>
      </c>
      <c r="M511" t="s">
        <v>57</v>
      </c>
      <c r="N511" t="s">
        <v>57</v>
      </c>
      <c r="O511" t="s">
        <v>57</v>
      </c>
      <c r="P511" t="s">
        <v>57</v>
      </c>
    </row>
    <row r="512" spans="1:22">
      <c r="A512" s="23" t="str">
        <f t="shared" si="276"/>
        <v>Q4 Shop 2</v>
      </c>
      <c r="B512" s="36" t="str">
        <f t="shared" ref="B512:C512" si="292">B511</f>
        <v>Q4</v>
      </c>
      <c r="C512" s="33">
        <f t="shared" si="292"/>
        <v>2</v>
      </c>
      <c r="D512" t="str">
        <f t="shared" si="277"/>
        <v>MINI of Tempe</v>
      </c>
      <c r="E512" t="str">
        <f>IF($J512="","",IFERROR(VLOOKUP($J512,KEY!$D$6:$F$76,3,FALSE),""))</f>
        <v>Arizona</v>
      </c>
      <c r="F512" t="str">
        <f>IF($J512="","",IFERROR(VLOOKUP($J512,KEY!$D$6:$F$76,2,FALSE),""))</f>
        <v>MINI</v>
      </c>
      <c r="G512" t="str">
        <f t="shared" si="278"/>
        <v>Q4 Shop 2_MINI of Tempe</v>
      </c>
      <c r="H512" s="30">
        <f t="shared" si="279"/>
        <v>4</v>
      </c>
      <c r="I512" s="30">
        <f t="shared" si="280"/>
        <v>4</v>
      </c>
      <c r="J512" s="110" t="s">
        <v>148</v>
      </c>
      <c r="L512" t="s">
        <v>512</v>
      </c>
      <c r="M512" t="s">
        <v>57</v>
      </c>
      <c r="N512" t="s">
        <v>57</v>
      </c>
      <c r="O512" t="s">
        <v>57</v>
      </c>
      <c r="P512" t="s">
        <v>57</v>
      </c>
    </row>
    <row r="513" spans="1:16">
      <c r="A513" s="23" t="str">
        <f t="shared" si="276"/>
        <v>Q4 Shop 2</v>
      </c>
      <c r="B513" s="36" t="str">
        <f t="shared" ref="B513:C513" si="293">B512</f>
        <v>Q4</v>
      </c>
      <c r="C513" s="33">
        <f t="shared" si="293"/>
        <v>2</v>
      </c>
      <c r="D513" t="str">
        <f t="shared" si="277"/>
        <v>Porsche North Scottsdale</v>
      </c>
      <c r="E513" t="str">
        <f>IF($J513="","",IFERROR(VLOOKUP($J513,KEY!$D$6:$F$76,3,FALSE),""))</f>
        <v>Arizona</v>
      </c>
      <c r="F513" t="str">
        <f>IF($J513="","",IFERROR(VLOOKUP($J513,KEY!$D$6:$F$76,2,FALSE),""))</f>
        <v>Porsche</v>
      </c>
      <c r="G513" t="str">
        <f t="shared" si="278"/>
        <v>Q4 Shop 2_Porsche North Scottsdale</v>
      </c>
      <c r="H513" s="30">
        <f t="shared" si="279"/>
        <v>4</v>
      </c>
      <c r="I513" s="30">
        <f t="shared" si="280"/>
        <v>4</v>
      </c>
      <c r="J513" s="110" t="s">
        <v>160</v>
      </c>
      <c r="L513" t="s">
        <v>513</v>
      </c>
      <c r="M513" t="s">
        <v>57</v>
      </c>
      <c r="N513" t="s">
        <v>57</v>
      </c>
      <c r="O513" t="s">
        <v>57</v>
      </c>
      <c r="P513" t="s">
        <v>57</v>
      </c>
    </row>
    <row r="514" spans="1:16">
      <c r="A514" s="23" t="str">
        <f t="shared" si="276"/>
        <v>Q4 Shop 2</v>
      </c>
      <c r="B514" s="36" t="str">
        <f t="shared" ref="B514:C514" si="294">B513</f>
        <v>Q4</v>
      </c>
      <c r="C514" s="33">
        <f t="shared" si="294"/>
        <v>2</v>
      </c>
      <c r="D514" t="str">
        <f t="shared" si="277"/>
        <v>Scottsdale Ferrari Maserati</v>
      </c>
      <c r="E514" t="str">
        <f>IF($J514="","",IFERROR(VLOOKUP($J514,KEY!$D$6:$F$76,3,FALSE),""))</f>
        <v>Arizona</v>
      </c>
      <c r="F514" t="str">
        <f>IF($J514="","",IFERROR(VLOOKUP($J514,KEY!$D$6:$F$76,2,FALSE),""))</f>
        <v>Ultra</v>
      </c>
      <c r="G514" t="str">
        <f t="shared" si="278"/>
        <v>Q4 Shop 2_Scottsdale Ferrari Maserati</v>
      </c>
      <c r="H514" s="30">
        <f t="shared" si="279"/>
        <v>4</v>
      </c>
      <c r="I514" s="30">
        <f t="shared" si="280"/>
        <v>1</v>
      </c>
      <c r="J514" s="110" t="s">
        <v>170</v>
      </c>
      <c r="L514" t="s">
        <v>514</v>
      </c>
      <c r="M514" t="s">
        <v>56</v>
      </c>
      <c r="N514" t="s">
        <v>56</v>
      </c>
      <c r="O514" t="s">
        <v>57</v>
      </c>
      <c r="P514" t="s">
        <v>56</v>
      </c>
    </row>
    <row r="515" spans="1:16">
      <c r="A515" s="23" t="str">
        <f t="shared" si="276"/>
        <v>Q4 Shop 2</v>
      </c>
      <c r="B515" s="36" t="str">
        <f t="shared" ref="B515:C515" si="295">B514</f>
        <v>Q4</v>
      </c>
      <c r="C515" s="33">
        <f t="shared" si="295"/>
        <v>2</v>
      </c>
      <c r="D515" t="str">
        <f t="shared" si="277"/>
        <v>Tempe Honda</v>
      </c>
      <c r="E515" t="str">
        <f>IF($J515="","",IFERROR(VLOOKUP($J515,KEY!$D$6:$F$76,3,FALSE),""))</f>
        <v>Arizona</v>
      </c>
      <c r="F515" t="str">
        <f>IF($J515="","",IFERROR(VLOOKUP($J515,KEY!$D$6:$F$76,2,FALSE),""))</f>
        <v>Honda</v>
      </c>
      <c r="G515" t="str">
        <f t="shared" si="278"/>
        <v>Q4 Shop 2_Tempe Honda</v>
      </c>
      <c r="H515" s="30">
        <f t="shared" si="279"/>
        <v>4</v>
      </c>
      <c r="I515" s="30">
        <f t="shared" si="280"/>
        <v>4</v>
      </c>
      <c r="J515" s="110" t="s">
        <v>174</v>
      </c>
      <c r="L515" t="s">
        <v>515</v>
      </c>
      <c r="M515" t="s">
        <v>57</v>
      </c>
      <c r="N515" t="s">
        <v>57</v>
      </c>
      <c r="O515" t="s">
        <v>57</v>
      </c>
      <c r="P515" t="s">
        <v>57</v>
      </c>
    </row>
    <row r="516" spans="1:16">
      <c r="A516" s="23" t="str">
        <f t="shared" si="276"/>
        <v>Q4 Shop 2</v>
      </c>
      <c r="B516" s="36" t="str">
        <f t="shared" ref="B516:C516" si="296">B515</f>
        <v>Q4</v>
      </c>
      <c r="C516" s="33">
        <f t="shared" si="296"/>
        <v>2</v>
      </c>
      <c r="D516" t="str">
        <f t="shared" si="277"/>
        <v>Toyota of Surprise</v>
      </c>
      <c r="E516" t="str">
        <f>IF($J516="","",IFERROR(VLOOKUP($J516,KEY!$D$6:$F$76,3,FALSE),""))</f>
        <v>Arizona</v>
      </c>
      <c r="F516" t="str">
        <f>IF($J516="","",IFERROR(VLOOKUP($J516,KEY!$D$6:$F$76,2,FALSE),""))</f>
        <v>Toyota</v>
      </c>
      <c r="G516" t="str">
        <f t="shared" si="278"/>
        <v>Q4 Shop 2_Toyota of Surprise</v>
      </c>
      <c r="H516" s="30">
        <f t="shared" si="279"/>
        <v>4</v>
      </c>
      <c r="I516" s="30">
        <f t="shared" si="280"/>
        <v>3</v>
      </c>
      <c r="J516" s="110" t="s">
        <v>178</v>
      </c>
      <c r="L516" t="s">
        <v>483</v>
      </c>
      <c r="M516" t="s">
        <v>57</v>
      </c>
      <c r="N516" t="s">
        <v>56</v>
      </c>
      <c r="O516" t="s">
        <v>57</v>
      </c>
      <c r="P516" t="s">
        <v>57</v>
      </c>
    </row>
    <row r="517" spans="1:16">
      <c r="A517" s="23" t="str">
        <f t="shared" si="276"/>
        <v>Q4 Shop 2</v>
      </c>
      <c r="B517" s="36" t="str">
        <f t="shared" ref="B517:C517" si="297">B516</f>
        <v>Q4</v>
      </c>
      <c r="C517" s="33">
        <f t="shared" si="297"/>
        <v>2</v>
      </c>
      <c r="D517" t="str">
        <f t="shared" si="277"/>
        <v>Volkswagen North Scottsdale</v>
      </c>
      <c r="E517" t="str">
        <f>IF($J517="","",IFERROR(VLOOKUP($J517,KEY!$D$6:$F$76,3,FALSE),""))</f>
        <v>Arizona</v>
      </c>
      <c r="F517" t="str">
        <f>IF($J517="","",IFERROR(VLOOKUP($J517,KEY!$D$6:$F$76,2,FALSE),""))</f>
        <v>Volkswagen</v>
      </c>
      <c r="G517" t="str">
        <f t="shared" si="278"/>
        <v>Q4 Shop 2_Volkswagen North Scottsdale</v>
      </c>
      <c r="H517" s="30">
        <f t="shared" si="279"/>
        <v>4</v>
      </c>
      <c r="I517" s="30">
        <f t="shared" si="280"/>
        <v>4</v>
      </c>
      <c r="J517" s="110" t="s">
        <v>180</v>
      </c>
      <c r="L517" t="s">
        <v>516</v>
      </c>
      <c r="M517" t="s">
        <v>57</v>
      </c>
      <c r="N517" t="s">
        <v>57</v>
      </c>
      <c r="O517" t="s">
        <v>57</v>
      </c>
      <c r="P517" t="s">
        <v>57</v>
      </c>
    </row>
    <row r="518" spans="1:16">
      <c r="A518" s="23" t="str">
        <f t="shared" si="276"/>
        <v>Q4 Shop 2</v>
      </c>
      <c r="B518" s="36" t="str">
        <f t="shared" ref="B518:C518" si="298">B517</f>
        <v>Q4</v>
      </c>
      <c r="C518" s="33">
        <f t="shared" si="298"/>
        <v>2</v>
      </c>
      <c r="D518" t="str">
        <f t="shared" si="277"/>
        <v>Audi San Jose</v>
      </c>
      <c r="E518" t="str">
        <f>IF($J518="","",IFERROR(VLOOKUP($J518,KEY!$D$6:$F$76,3,FALSE),""))</f>
        <v>Northern California</v>
      </c>
      <c r="F518" t="str">
        <f>IF($J518="","",IFERROR(VLOOKUP($J518,KEY!$D$6:$F$76,2,FALSE),""))</f>
        <v>Audi</v>
      </c>
      <c r="G518" t="str">
        <f t="shared" si="278"/>
        <v>Q4 Shop 2_Audi San Jose</v>
      </c>
      <c r="H518" s="30">
        <f t="shared" si="279"/>
        <v>4</v>
      </c>
      <c r="I518" s="30">
        <f t="shared" si="280"/>
        <v>4</v>
      </c>
      <c r="J518" s="110" t="s">
        <v>68</v>
      </c>
      <c r="L518" t="s">
        <v>331</v>
      </c>
      <c r="M518" t="s">
        <v>57</v>
      </c>
      <c r="N518" t="s">
        <v>57</v>
      </c>
      <c r="O518" t="s">
        <v>57</v>
      </c>
      <c r="P518" t="s">
        <v>57</v>
      </c>
    </row>
    <row r="519" spans="1:16">
      <c r="A519" s="23" t="str">
        <f t="shared" ref="A519:A567" si="299">B519&amp;" Shop "&amp;C519</f>
        <v>Q4 Shop 2</v>
      </c>
      <c r="B519" s="36" t="str">
        <f t="shared" ref="B519:C519" si="300">B518</f>
        <v>Q4</v>
      </c>
      <c r="C519" s="33">
        <f t="shared" si="300"/>
        <v>2</v>
      </c>
      <c r="D519" t="str">
        <f t="shared" si="277"/>
        <v>Capitol Honda</v>
      </c>
      <c r="E519" t="str">
        <f>IF($J519="","",IFERROR(VLOOKUP($J519,KEY!$D$6:$F$76,3,FALSE),""))</f>
        <v>Northern California</v>
      </c>
      <c r="F519" t="str">
        <f>IF($J519="","",IFERROR(VLOOKUP($J519,KEY!$D$6:$F$76,2,FALSE),""))</f>
        <v>Honda</v>
      </c>
      <c r="G519" t="str">
        <f t="shared" ref="G519:G567" si="301">IF($J519="","",A519&amp;"_"&amp;D519)</f>
        <v>Q4 Shop 2_Capitol Honda</v>
      </c>
      <c r="H519" s="30">
        <f t="shared" si="279"/>
        <v>4</v>
      </c>
      <c r="I519" s="30">
        <f t="shared" si="280"/>
        <v>4</v>
      </c>
      <c r="J519" s="110" t="s">
        <v>88</v>
      </c>
      <c r="L519" t="s">
        <v>332</v>
      </c>
      <c r="M519" t="s">
        <v>57</v>
      </c>
      <c r="N519" t="s">
        <v>57</v>
      </c>
      <c r="O519" t="s">
        <v>57</v>
      </c>
      <c r="P519" t="s">
        <v>57</v>
      </c>
    </row>
    <row r="520" spans="1:16">
      <c r="A520" s="23" t="str">
        <f t="shared" si="299"/>
        <v>Q4 Shop 2</v>
      </c>
      <c r="B520" s="36" t="str">
        <f t="shared" ref="B520:C520" si="302">B519</f>
        <v>Q4</v>
      </c>
      <c r="C520" s="33">
        <f t="shared" si="302"/>
        <v>2</v>
      </c>
      <c r="D520" t="str">
        <f t="shared" si="277"/>
        <v>Honda North</v>
      </c>
      <c r="E520" t="str">
        <f>IF($J520="","",IFERROR(VLOOKUP($J520,KEY!$D$6:$F$76,3,FALSE),""))</f>
        <v>Northern California</v>
      </c>
      <c r="F520" t="str">
        <f>IF($J520="","",IFERROR(VLOOKUP($J520,KEY!$D$6:$F$76,2,FALSE),""))</f>
        <v>Honda</v>
      </c>
      <c r="G520" t="str">
        <f t="shared" si="301"/>
        <v>Q4 Shop 2_Honda North</v>
      </c>
      <c r="H520" s="30">
        <f t="shared" si="279"/>
        <v>4</v>
      </c>
      <c r="I520" s="30">
        <f t="shared" si="280"/>
        <v>2</v>
      </c>
      <c r="J520" s="110" t="s">
        <v>102</v>
      </c>
      <c r="L520" t="s">
        <v>333</v>
      </c>
      <c r="M520" t="s">
        <v>57</v>
      </c>
      <c r="N520" t="s">
        <v>57</v>
      </c>
      <c r="O520" t="s">
        <v>56</v>
      </c>
      <c r="P520" t="s">
        <v>56</v>
      </c>
    </row>
    <row r="521" spans="1:16">
      <c r="A521" s="23" t="str">
        <f t="shared" si="299"/>
        <v>Q4 Shop 2</v>
      </c>
      <c r="B521" s="36" t="str">
        <f t="shared" ref="B521:C521" si="303">B520</f>
        <v>Q4</v>
      </c>
      <c r="C521" s="33">
        <f t="shared" si="303"/>
        <v>2</v>
      </c>
      <c r="D521" t="str">
        <f t="shared" si="277"/>
        <v>Capitol Acura</v>
      </c>
      <c r="E521" t="str">
        <f>IF($J521="","",IFERROR(VLOOKUP($J521,KEY!$D$6:$F$76,3,FALSE),""))</f>
        <v>Northern California</v>
      </c>
      <c r="F521" t="str">
        <f>IF($J521="","",IFERROR(VLOOKUP($J521,KEY!$D$6:$F$76,2,FALSE),""))</f>
        <v>Acura</v>
      </c>
      <c r="G521" t="str">
        <f t="shared" si="301"/>
        <v>Q4 Shop 2_Capitol Acura</v>
      </c>
      <c r="H521" s="30">
        <f t="shared" si="279"/>
        <v>4</v>
      </c>
      <c r="I521" s="30">
        <f t="shared" si="280"/>
        <v>4</v>
      </c>
      <c r="J521" s="110" t="s">
        <v>86</v>
      </c>
      <c r="L521" t="s">
        <v>517</v>
      </c>
      <c r="M521" t="s">
        <v>57</v>
      </c>
      <c r="N521" t="s">
        <v>57</v>
      </c>
      <c r="O521" t="s">
        <v>57</v>
      </c>
      <c r="P521" t="s">
        <v>57</v>
      </c>
    </row>
    <row r="522" spans="1:16">
      <c r="A522" s="23" t="str">
        <f t="shared" si="299"/>
        <v>Q4 Shop 2</v>
      </c>
      <c r="B522" s="36" t="str">
        <f t="shared" ref="B522:C522" si="304">B521</f>
        <v>Q4</v>
      </c>
      <c r="C522" s="33">
        <f t="shared" si="304"/>
        <v>2</v>
      </c>
      <c r="D522" t="str">
        <f t="shared" si="277"/>
        <v>MINI of Marin</v>
      </c>
      <c r="E522" t="str">
        <f>IF($J522="","",IFERROR(VLOOKUP($J522,KEY!$D$6:$F$76,3,FALSE),""))</f>
        <v>Northern California</v>
      </c>
      <c r="F522" t="str">
        <f>IF($J522="","",IFERROR(VLOOKUP($J522,KEY!$D$6:$F$76,2,FALSE),""))</f>
        <v>MINI</v>
      </c>
      <c r="G522" t="str">
        <f t="shared" si="301"/>
        <v>Q4 Shop 2_MINI of Marin</v>
      </c>
      <c r="H522" s="30">
        <f t="shared" si="279"/>
        <v>4</v>
      </c>
      <c r="I522" s="30">
        <f t="shared" si="280"/>
        <v>4</v>
      </c>
      <c r="J522" s="110" t="s">
        <v>142</v>
      </c>
      <c r="L522" t="s">
        <v>445</v>
      </c>
      <c r="M522" t="s">
        <v>57</v>
      </c>
      <c r="N522" t="s">
        <v>57</v>
      </c>
      <c r="O522" t="s">
        <v>57</v>
      </c>
      <c r="P522" t="s">
        <v>57</v>
      </c>
    </row>
    <row r="523" spans="1:16">
      <c r="A523" s="23" t="str">
        <f t="shared" si="299"/>
        <v>Q4 Shop 2</v>
      </c>
      <c r="B523" s="36" t="str">
        <f t="shared" ref="B523:C523" si="305">B522</f>
        <v>Q4</v>
      </c>
      <c r="C523" s="33">
        <f t="shared" si="305"/>
        <v>2</v>
      </c>
      <c r="D523" t="str">
        <f t="shared" si="277"/>
        <v>Peter Pan BMW</v>
      </c>
      <c r="E523" t="str">
        <f>IF($J523="","",IFERROR(VLOOKUP($J523,KEY!$D$6:$F$76,3,FALSE),""))</f>
        <v>Northern California</v>
      </c>
      <c r="F523" t="str">
        <f>IF($J523="","",IFERROR(VLOOKUP($J523,KEY!$D$6:$F$76,2,FALSE),""))</f>
        <v>BMW</v>
      </c>
      <c r="G523" t="str">
        <f t="shared" si="301"/>
        <v>Q4 Shop 2_Peter Pan BMW</v>
      </c>
      <c r="H523" s="30">
        <f t="shared" si="279"/>
        <v>4</v>
      </c>
      <c r="I523" s="30">
        <f t="shared" si="280"/>
        <v>4</v>
      </c>
      <c r="J523" s="110" t="s">
        <v>158</v>
      </c>
      <c r="L523" t="s">
        <v>518</v>
      </c>
      <c r="M523" t="s">
        <v>57</v>
      </c>
      <c r="N523" t="s">
        <v>57</v>
      </c>
      <c r="O523" t="s">
        <v>57</v>
      </c>
      <c r="P523" t="s">
        <v>57</v>
      </c>
    </row>
    <row r="524" spans="1:16">
      <c r="A524" s="23" t="str">
        <f t="shared" si="299"/>
        <v>Q4 Shop 2</v>
      </c>
      <c r="B524" s="36" t="str">
        <f t="shared" ref="B524:C524" si="306">B523</f>
        <v>Q4</v>
      </c>
      <c r="C524" s="33">
        <f t="shared" si="306"/>
        <v>2</v>
      </c>
      <c r="D524" t="str">
        <f t="shared" si="277"/>
        <v>Porsche Stevens Creek</v>
      </c>
      <c r="E524" t="str">
        <f>IF($J524="","",IFERROR(VLOOKUP($J524,KEY!$D$6:$F$76,3,FALSE),""))</f>
        <v>Northern California</v>
      </c>
      <c r="F524" t="str">
        <f>IF($J524="","",IFERROR(VLOOKUP($J524,KEY!$D$6:$F$76,2,FALSE),""))</f>
        <v>Porsche</v>
      </c>
      <c r="G524" t="str">
        <f t="shared" si="301"/>
        <v>Q4 Shop 2_Porsche Stevens Creek</v>
      </c>
      <c r="H524" s="30">
        <f t="shared" si="279"/>
        <v>4</v>
      </c>
      <c r="I524" s="30">
        <f t="shared" si="280"/>
        <v>3</v>
      </c>
      <c r="J524" s="110" t="s">
        <v>162</v>
      </c>
      <c r="L524" t="s">
        <v>446</v>
      </c>
      <c r="M524" t="s">
        <v>56</v>
      </c>
      <c r="N524" t="s">
        <v>57</v>
      </c>
      <c r="O524" t="s">
        <v>57</v>
      </c>
      <c r="P524" t="s">
        <v>57</v>
      </c>
    </row>
    <row r="525" spans="1:16">
      <c r="A525" s="23" t="str">
        <f t="shared" si="299"/>
        <v>Q4 Shop 2</v>
      </c>
      <c r="B525" s="36" t="str">
        <f t="shared" ref="B525:C525" si="307">B524</f>
        <v>Q4</v>
      </c>
      <c r="C525" s="33">
        <f t="shared" si="307"/>
        <v>2</v>
      </c>
      <c r="D525" t="str">
        <f t="shared" si="277"/>
        <v>Toyota of Clovis</v>
      </c>
      <c r="E525" t="str">
        <f>IF($J525="","",IFERROR(VLOOKUP($J525,KEY!$D$6:$F$76,3,FALSE),""))</f>
        <v>Northern California</v>
      </c>
      <c r="F525" t="str">
        <f>IF($J525="","",IFERROR(VLOOKUP($J525,KEY!$D$6:$F$76,2,FALSE),""))</f>
        <v>Toyota</v>
      </c>
      <c r="G525" t="str">
        <f t="shared" si="301"/>
        <v>Q4 Shop 2_Toyota of Clovis</v>
      </c>
      <c r="H525" s="30">
        <f t="shared" si="279"/>
        <v>4</v>
      </c>
      <c r="I525" s="30">
        <f t="shared" si="280"/>
        <v>4</v>
      </c>
      <c r="J525" s="110" t="s">
        <v>176</v>
      </c>
      <c r="L525" t="s">
        <v>338</v>
      </c>
      <c r="M525" t="s">
        <v>57</v>
      </c>
      <c r="N525" t="s">
        <v>57</v>
      </c>
      <c r="O525" t="s">
        <v>57</v>
      </c>
      <c r="P525" t="s">
        <v>57</v>
      </c>
    </row>
    <row r="526" spans="1:16">
      <c r="A526" s="23" t="str">
        <f t="shared" si="299"/>
        <v>Q4 Shop 2</v>
      </c>
      <c r="B526" s="36" t="str">
        <f t="shared" ref="B526:C526" si="308">B525</f>
        <v>Q4</v>
      </c>
      <c r="C526" s="33">
        <f t="shared" si="308"/>
        <v>2</v>
      </c>
      <c r="D526" t="str">
        <f t="shared" si="277"/>
        <v>Audi North OC</v>
      </c>
      <c r="E526" t="str">
        <f>IF($J526="","",IFERROR(VLOOKUP($J526,KEY!$D$6:$F$76,3,FALSE),""))</f>
        <v>Orange County</v>
      </c>
      <c r="F526" t="str">
        <f>IF($J526="","",IFERROR(VLOOKUP($J526,KEY!$D$6:$F$76,2,FALSE),""))</f>
        <v>Audi</v>
      </c>
      <c r="G526" t="str">
        <f t="shared" si="301"/>
        <v>Q4 Shop 2_Audi North OC</v>
      </c>
      <c r="H526" s="30">
        <f t="shared" si="279"/>
        <v>4</v>
      </c>
      <c r="I526" s="30">
        <f t="shared" si="280"/>
        <v>4</v>
      </c>
      <c r="J526" s="110" t="s">
        <v>64</v>
      </c>
      <c r="L526" t="s">
        <v>487</v>
      </c>
      <c r="M526" t="s">
        <v>57</v>
      </c>
      <c r="N526" t="s">
        <v>57</v>
      </c>
      <c r="O526" t="s">
        <v>57</v>
      </c>
      <c r="P526" t="s">
        <v>57</v>
      </c>
    </row>
    <row r="527" spans="1:16">
      <c r="A527" s="23" t="str">
        <f t="shared" si="299"/>
        <v>Q4 Shop 2</v>
      </c>
      <c r="B527" s="36" t="str">
        <f t="shared" ref="B527:C527" si="309">B526</f>
        <v>Q4</v>
      </c>
      <c r="C527" s="33">
        <f t="shared" si="309"/>
        <v>2</v>
      </c>
      <c r="D527" t="str">
        <f t="shared" si="277"/>
        <v>Audi South Coast</v>
      </c>
      <c r="E527" t="str">
        <f>IF($J527="","",IFERROR(VLOOKUP($J527,KEY!$D$6:$F$76,3,FALSE),""))</f>
        <v>Orange County</v>
      </c>
      <c r="F527" t="str">
        <f>IF($J527="","",IFERROR(VLOOKUP($J527,KEY!$D$6:$F$76,2,FALSE),""))</f>
        <v>Audi</v>
      </c>
      <c r="G527" t="str">
        <f t="shared" si="301"/>
        <v>Q4 Shop 2_Audi South Coast</v>
      </c>
      <c r="H527" s="30">
        <f t="shared" si="279"/>
        <v>4</v>
      </c>
      <c r="I527" s="30">
        <f t="shared" si="280"/>
        <v>4</v>
      </c>
      <c r="J527" s="110" t="s">
        <v>70</v>
      </c>
      <c r="L527" t="s">
        <v>519</v>
      </c>
      <c r="M527" t="s">
        <v>57</v>
      </c>
      <c r="N527" t="s">
        <v>57</v>
      </c>
      <c r="O527" t="s">
        <v>57</v>
      </c>
      <c r="P527" t="s">
        <v>57</v>
      </c>
    </row>
    <row r="528" spans="1:16">
      <c r="A528" s="23" t="str">
        <f t="shared" si="299"/>
        <v>Q4 Shop 2</v>
      </c>
      <c r="B528" s="36" t="str">
        <f t="shared" ref="B528:C528" si="310">B527</f>
        <v>Q4</v>
      </c>
      <c r="C528" s="33">
        <f t="shared" si="310"/>
        <v>2</v>
      </c>
      <c r="D528" t="str">
        <f t="shared" si="277"/>
        <v>BMW of Ontario</v>
      </c>
      <c r="E528" t="str">
        <f>IF($J528="","",IFERROR(VLOOKUP($J528,KEY!$D$6:$F$76,3,FALSE),""))</f>
        <v>Orange County</v>
      </c>
      <c r="F528" t="str">
        <f>IF($J528="","",IFERROR(VLOOKUP($J528,KEY!$D$6:$F$76,2,FALSE),""))</f>
        <v>BMW</v>
      </c>
      <c r="G528" t="str">
        <f t="shared" si="301"/>
        <v>Q4 Shop 2_BMW of Ontario</v>
      </c>
      <c r="H528" s="30">
        <f t="shared" si="279"/>
        <v>4</v>
      </c>
      <c r="I528" s="30">
        <f t="shared" si="280"/>
        <v>4</v>
      </c>
      <c r="J528" s="110" t="s">
        <v>80</v>
      </c>
      <c r="L528" t="s">
        <v>349</v>
      </c>
      <c r="M528" t="s">
        <v>57</v>
      </c>
      <c r="N528" t="s">
        <v>57</v>
      </c>
      <c r="O528" t="s">
        <v>57</v>
      </c>
      <c r="P528" t="s">
        <v>57</v>
      </c>
    </row>
    <row r="529" spans="1:16">
      <c r="A529" s="23" t="str">
        <f t="shared" si="299"/>
        <v>Q4 Shop 2</v>
      </c>
      <c r="B529" s="36" t="str">
        <f t="shared" ref="B529:C529" si="311">B528</f>
        <v>Q4</v>
      </c>
      <c r="C529" s="33">
        <f t="shared" si="311"/>
        <v>2</v>
      </c>
      <c r="D529" t="str">
        <f t="shared" si="277"/>
        <v>Crevier BMW</v>
      </c>
      <c r="E529" t="str">
        <f>IF($J529="","",IFERROR(VLOOKUP($J529,KEY!$D$6:$F$76,3,FALSE),""))</f>
        <v>Orange County</v>
      </c>
      <c r="F529" t="str">
        <f>IF($J529="","",IFERROR(VLOOKUP($J529,KEY!$D$6:$F$76,2,FALSE),""))</f>
        <v>BMW</v>
      </c>
      <c r="G529" t="str">
        <f t="shared" si="301"/>
        <v>Q4 Shop 2_Crevier BMW</v>
      </c>
      <c r="H529" s="30">
        <f t="shared" si="279"/>
        <v>4</v>
      </c>
      <c r="I529" s="30">
        <f t="shared" si="280"/>
        <v>4</v>
      </c>
      <c r="J529" s="110" t="s">
        <v>90</v>
      </c>
      <c r="L529" t="s">
        <v>520</v>
      </c>
      <c r="M529" t="s">
        <v>57</v>
      </c>
      <c r="N529" t="s">
        <v>57</v>
      </c>
      <c r="O529" t="s">
        <v>57</v>
      </c>
      <c r="P529" t="s">
        <v>57</v>
      </c>
    </row>
    <row r="530" spans="1:16">
      <c r="A530" s="23" t="str">
        <f t="shared" si="299"/>
        <v>Q4 Shop 2</v>
      </c>
      <c r="B530" s="36" t="str">
        <f t="shared" ref="B530:C530" si="312">B529</f>
        <v>Q4</v>
      </c>
      <c r="C530" s="33">
        <f t="shared" si="312"/>
        <v>2</v>
      </c>
      <c r="D530" t="str">
        <f t="shared" si="277"/>
        <v>Crevier MINI</v>
      </c>
      <c r="E530" t="str">
        <f>IF($J530="","",IFERROR(VLOOKUP($J530,KEY!$D$6:$F$76,3,FALSE),""))</f>
        <v>Orange County</v>
      </c>
      <c r="F530" t="str">
        <f>IF($J530="","",IFERROR(VLOOKUP($J530,KEY!$D$6:$F$76,2,FALSE),""))</f>
        <v>MINI</v>
      </c>
      <c r="G530" t="str">
        <f t="shared" si="301"/>
        <v>Q4 Shop 2_Crevier MINI</v>
      </c>
      <c r="H530" s="30">
        <f t="shared" si="279"/>
        <v>4</v>
      </c>
      <c r="I530" s="30">
        <f t="shared" si="280"/>
        <v>4</v>
      </c>
      <c r="J530" s="110" t="s">
        <v>92</v>
      </c>
      <c r="L530" t="s">
        <v>403</v>
      </c>
      <c r="M530" t="s">
        <v>57</v>
      </c>
      <c r="N530" t="s">
        <v>57</v>
      </c>
      <c r="O530" t="s">
        <v>57</v>
      </c>
      <c r="P530" t="s">
        <v>57</v>
      </c>
    </row>
    <row r="531" spans="1:16">
      <c r="A531" s="23" t="str">
        <f t="shared" si="299"/>
        <v>Q4 Shop 2</v>
      </c>
      <c r="B531" s="36" t="str">
        <f t="shared" ref="B531:C531" si="313">B530</f>
        <v>Q4</v>
      </c>
      <c r="C531" s="33">
        <f t="shared" si="313"/>
        <v>2</v>
      </c>
      <c r="D531" t="str">
        <f t="shared" si="277"/>
        <v>Lincoln South Coast</v>
      </c>
      <c r="E531" t="str">
        <f>IF($J531="","",IFERROR(VLOOKUP($J531,KEY!$D$6:$F$76,3,FALSE),""))</f>
        <v>Orange County</v>
      </c>
      <c r="F531" t="str">
        <f>IF($J531="","",IFERROR(VLOOKUP($J531,KEY!$D$6:$F$76,2,FALSE),""))</f>
        <v>Lincoln</v>
      </c>
      <c r="G531" t="str">
        <f t="shared" si="301"/>
        <v>Q4 Shop 2_Lincoln South Coast</v>
      </c>
      <c r="H531" s="30">
        <f t="shared" si="279"/>
        <v>4</v>
      </c>
      <c r="I531" s="30">
        <f t="shared" si="280"/>
        <v>4</v>
      </c>
      <c r="J531" s="110" t="s">
        <v>128</v>
      </c>
      <c r="L531" t="s">
        <v>489</v>
      </c>
      <c r="M531" t="s">
        <v>57</v>
      </c>
      <c r="N531" t="s">
        <v>57</v>
      </c>
      <c r="O531" t="s">
        <v>57</v>
      </c>
      <c r="P531" t="s">
        <v>57</v>
      </c>
    </row>
    <row r="532" spans="1:16">
      <c r="A532" s="23" t="str">
        <f t="shared" si="299"/>
        <v>Q4 Shop 2</v>
      </c>
      <c r="B532" s="36" t="str">
        <f t="shared" ref="B532:C532" si="314">B531</f>
        <v>Q4</v>
      </c>
      <c r="C532" s="33">
        <f t="shared" si="314"/>
        <v>2</v>
      </c>
      <c r="D532" t="str">
        <f t="shared" si="277"/>
        <v>MINI of Ontario</v>
      </c>
      <c r="E532" t="str">
        <f>IF($J532="","",IFERROR(VLOOKUP($J532,KEY!$D$6:$F$76,3,FALSE),""))</f>
        <v>Orange County</v>
      </c>
      <c r="F532" t="str">
        <f>IF($J532="","",IFERROR(VLOOKUP($J532,KEY!$D$6:$F$76,2,FALSE),""))</f>
        <v>MINI</v>
      </c>
      <c r="G532" t="str">
        <f t="shared" si="301"/>
        <v>Q4 Shop 2_MINI of Ontario</v>
      </c>
      <c r="H532" s="30">
        <f t="shared" ref="H532:H563" si="315">IF($J532="","",COUNTIF($M532:$V532,"*"))</f>
        <v>4</v>
      </c>
      <c r="I532" s="30">
        <f t="shared" ref="I532:I563" si="316">IF($J532="","",COUNTIF($M532:$V532,"YES*"))</f>
        <v>4</v>
      </c>
      <c r="J532" s="110" t="s">
        <v>144</v>
      </c>
      <c r="L532" t="s">
        <v>353</v>
      </c>
      <c r="M532" t="s">
        <v>57</v>
      </c>
      <c r="N532" t="s">
        <v>57</v>
      </c>
      <c r="O532" t="s">
        <v>57</v>
      </c>
      <c r="P532" t="s">
        <v>57</v>
      </c>
    </row>
    <row r="533" spans="1:16">
      <c r="A533" s="23" t="str">
        <f t="shared" si="299"/>
        <v>Q4 Shop 2</v>
      </c>
      <c r="B533" s="36" t="str">
        <f t="shared" ref="B533:C533" si="317">B532</f>
        <v>Q4</v>
      </c>
      <c r="C533" s="33">
        <f t="shared" si="317"/>
        <v>2</v>
      </c>
      <c r="D533" t="str">
        <f t="shared" si="277"/>
        <v>Subaru Orange Coast</v>
      </c>
      <c r="E533" t="str">
        <f>IF($J533="","",IFERROR(VLOOKUP($J533,KEY!$D$6:$F$76,3,FALSE),""))</f>
        <v>Orange County</v>
      </c>
      <c r="F533" t="str">
        <f>IF($J533="","",IFERROR(VLOOKUP($J533,KEY!$D$6:$F$76,2,FALSE),""))</f>
        <v>Subaru</v>
      </c>
      <c r="G533" t="str">
        <f t="shared" si="301"/>
        <v>Q4 Shop 2_Subaru Orange Coast</v>
      </c>
      <c r="H533" s="30">
        <f t="shared" si="315"/>
        <v>4</v>
      </c>
      <c r="I533" s="30">
        <f t="shared" si="316"/>
        <v>1</v>
      </c>
      <c r="J533" s="110" t="s">
        <v>172</v>
      </c>
      <c r="L533" t="s">
        <v>521</v>
      </c>
      <c r="M533" t="s">
        <v>57</v>
      </c>
      <c r="N533" t="s">
        <v>56</v>
      </c>
      <c r="O533" t="s">
        <v>56</v>
      </c>
      <c r="P533" t="s">
        <v>56</v>
      </c>
    </row>
    <row r="534" spans="1:16">
      <c r="A534" s="23" t="str">
        <f t="shared" si="299"/>
        <v>Q4 Shop 2</v>
      </c>
      <c r="B534" s="36" t="str">
        <f t="shared" ref="B534:C534" si="318">B533</f>
        <v>Q4</v>
      </c>
      <c r="C534" s="33">
        <f t="shared" si="318"/>
        <v>2</v>
      </c>
      <c r="D534" t="str">
        <f t="shared" si="277"/>
        <v>Volkswagen South Coast</v>
      </c>
      <c r="E534" t="str">
        <f>IF($J534="","",IFERROR(VLOOKUP($J534,KEY!$D$6:$F$76,3,FALSE),""))</f>
        <v>Orange County</v>
      </c>
      <c r="F534" t="str">
        <f>IF($J534="","",IFERROR(VLOOKUP($J534,KEY!$D$6:$F$76,2,FALSE),""))</f>
        <v>Volkswagen</v>
      </c>
      <c r="G534" t="str">
        <f t="shared" si="301"/>
        <v>Q4 Shop 2_Volkswagen South Coast</v>
      </c>
      <c r="H534" s="30">
        <f t="shared" si="315"/>
        <v>4</v>
      </c>
      <c r="I534" s="30">
        <f t="shared" si="316"/>
        <v>4</v>
      </c>
      <c r="J534" s="6" t="s">
        <v>182</v>
      </c>
      <c r="L534" t="s">
        <v>490</v>
      </c>
      <c r="M534" t="s">
        <v>57</v>
      </c>
      <c r="N534" t="s">
        <v>57</v>
      </c>
      <c r="O534" t="s">
        <v>57</v>
      </c>
      <c r="P534" t="s">
        <v>57</v>
      </c>
    </row>
    <row r="535" spans="1:16">
      <c r="A535" s="23" t="str">
        <f t="shared" si="299"/>
        <v>Q4 Shop 2</v>
      </c>
      <c r="B535" s="36" t="str">
        <f t="shared" ref="B535:C535" si="319">B534</f>
        <v>Q4</v>
      </c>
      <c r="C535" s="33">
        <f t="shared" si="319"/>
        <v>2</v>
      </c>
      <c r="D535" t="str">
        <f t="shared" si="277"/>
        <v>Acura of Escondido</v>
      </c>
      <c r="E535" t="str">
        <f>IF($J535="","",IFERROR(VLOOKUP($J535,KEY!$D$6:$F$76,3,FALSE),""))</f>
        <v>Southern California</v>
      </c>
      <c r="F535" t="str">
        <f>IF($J535="","",IFERROR(VLOOKUP($J535,KEY!$D$6:$F$76,2,FALSE),""))</f>
        <v>Acura</v>
      </c>
      <c r="G535" t="str">
        <f t="shared" si="301"/>
        <v>Q4 Shop 2_Acura of Escondido</v>
      </c>
      <c r="H535" s="30">
        <f t="shared" si="315"/>
        <v>4</v>
      </c>
      <c r="I535" s="30">
        <f t="shared" si="316"/>
        <v>4</v>
      </c>
      <c r="J535" s="6" t="s">
        <v>58</v>
      </c>
      <c r="L535" t="s">
        <v>407</v>
      </c>
      <c r="M535" t="s">
        <v>57</v>
      </c>
      <c r="N535" t="s">
        <v>57</v>
      </c>
      <c r="O535" t="s">
        <v>57</v>
      </c>
      <c r="P535" t="s">
        <v>57</v>
      </c>
    </row>
    <row r="536" spans="1:16">
      <c r="A536" s="23" t="str">
        <f t="shared" si="299"/>
        <v>Q4 Shop 2</v>
      </c>
      <c r="B536" s="36" t="str">
        <f t="shared" ref="B536:C536" si="320">B535</f>
        <v>Q4</v>
      </c>
      <c r="C536" s="33">
        <f t="shared" si="320"/>
        <v>2</v>
      </c>
      <c r="D536" t="str">
        <f t="shared" si="277"/>
        <v>Audi Escondido</v>
      </c>
      <c r="E536" t="str">
        <f>IF($J536="","",IFERROR(VLOOKUP($J536,KEY!$D$6:$F$76,3,FALSE),""))</f>
        <v>Southern California</v>
      </c>
      <c r="F536" t="str">
        <f>IF($J536="","",IFERROR(VLOOKUP($J536,KEY!$D$6:$F$76,2,FALSE),""))</f>
        <v>Audi</v>
      </c>
      <c r="G536" t="str">
        <f t="shared" si="301"/>
        <v>Q4 Shop 2_Audi Escondido</v>
      </c>
      <c r="H536" s="30">
        <f t="shared" si="315"/>
        <v>4</v>
      </c>
      <c r="I536" s="30">
        <f t="shared" si="316"/>
        <v>4</v>
      </c>
      <c r="J536" s="110" t="s">
        <v>62</v>
      </c>
      <c r="L536" t="s">
        <v>357</v>
      </c>
      <c r="M536" t="s">
        <v>57</v>
      </c>
      <c r="N536" t="s">
        <v>57</v>
      </c>
      <c r="O536" t="s">
        <v>57</v>
      </c>
      <c r="P536" t="s">
        <v>57</v>
      </c>
    </row>
    <row r="537" spans="1:16">
      <c r="A537" s="23" t="str">
        <f t="shared" si="299"/>
        <v>Q4 Shop 2</v>
      </c>
      <c r="B537" s="36" t="str">
        <f t="shared" ref="B537:C537" si="321">B536</f>
        <v>Q4</v>
      </c>
      <c r="C537" s="33">
        <f t="shared" si="321"/>
        <v>2</v>
      </c>
      <c r="D537" t="str">
        <f t="shared" si="277"/>
        <v>BMW/MINI of Escondido</v>
      </c>
      <c r="E537" t="str">
        <f>IF($J537="","",IFERROR(VLOOKUP($J537,KEY!$D$6:$F$76,3,FALSE),""))</f>
        <v>Southern California</v>
      </c>
      <c r="F537" t="str">
        <f>IF($J537="","",IFERROR(VLOOKUP($J537,KEY!$D$6:$F$76,2,FALSE),""))</f>
        <v>BMW</v>
      </c>
      <c r="G537" t="str">
        <f t="shared" si="301"/>
        <v>Q4 Shop 2_BMW/MINI of Escondido</v>
      </c>
      <c r="H537" s="30">
        <f t="shared" si="315"/>
        <v>4</v>
      </c>
      <c r="I537" s="30">
        <f t="shared" si="316"/>
        <v>3</v>
      </c>
      <c r="J537" s="110" t="s">
        <v>84</v>
      </c>
      <c r="L537" t="s">
        <v>492</v>
      </c>
      <c r="M537" t="s">
        <v>57</v>
      </c>
      <c r="N537" t="s">
        <v>56</v>
      </c>
      <c r="O537" t="s">
        <v>57</v>
      </c>
      <c r="P537" t="s">
        <v>57</v>
      </c>
    </row>
    <row r="538" spans="1:16">
      <c r="A538" s="23" t="str">
        <f t="shared" si="299"/>
        <v>Q4 Shop 2</v>
      </c>
      <c r="B538" s="36" t="str">
        <f t="shared" ref="B538:C538" si="322">B537</f>
        <v>Q4</v>
      </c>
      <c r="C538" s="33">
        <f t="shared" si="322"/>
        <v>2</v>
      </c>
      <c r="D538" t="str">
        <f t="shared" si="277"/>
        <v>BMW of San Diego</v>
      </c>
      <c r="E538" t="str">
        <f>IF($J538="","",IFERROR(VLOOKUP($J538,KEY!$D$6:$F$76,3,FALSE),""))</f>
        <v>Southern California</v>
      </c>
      <c r="F538" t="str">
        <f>IF($J538="","",IFERROR(VLOOKUP($J538,KEY!$D$6:$F$76,2,FALSE),""))</f>
        <v>BMW</v>
      </c>
      <c r="G538" t="str">
        <f t="shared" si="301"/>
        <v>Q4 Shop 2_BMW of San Diego</v>
      </c>
      <c r="H538" s="30">
        <f t="shared" si="315"/>
        <v>4</v>
      </c>
      <c r="I538" s="30">
        <f t="shared" si="316"/>
        <v>4</v>
      </c>
      <c r="J538" s="110" t="s">
        <v>82</v>
      </c>
      <c r="L538" t="s">
        <v>359</v>
      </c>
      <c r="M538" t="s">
        <v>57</v>
      </c>
      <c r="N538" t="s">
        <v>57</v>
      </c>
      <c r="O538" t="s">
        <v>57</v>
      </c>
      <c r="P538" t="s">
        <v>57</v>
      </c>
    </row>
    <row r="539" spans="1:16">
      <c r="A539" s="23" t="str">
        <f t="shared" si="299"/>
        <v>Q4 Shop 2</v>
      </c>
      <c r="B539" s="36" t="str">
        <f t="shared" ref="B539:C539" si="323">B538</f>
        <v>Q4</v>
      </c>
      <c r="C539" s="33">
        <f t="shared" si="323"/>
        <v>2</v>
      </c>
      <c r="D539" t="str">
        <f t="shared" si="277"/>
        <v>Honda of Escondido</v>
      </c>
      <c r="E539" t="str">
        <f>IF($J539="","",IFERROR(VLOOKUP($J539,KEY!$D$6:$F$76,3,FALSE),""))</f>
        <v>Southern California</v>
      </c>
      <c r="F539" t="str">
        <f>IF($J539="","",IFERROR(VLOOKUP($J539,KEY!$D$6:$F$76,2,FALSE),""))</f>
        <v>Honda</v>
      </c>
      <c r="G539" t="str">
        <f t="shared" si="301"/>
        <v>Q4 Shop 2_Honda of Escondido</v>
      </c>
      <c r="H539" s="30">
        <f t="shared" si="315"/>
        <v>4</v>
      </c>
      <c r="I539" s="30">
        <f t="shared" si="316"/>
        <v>0</v>
      </c>
      <c r="J539" s="110" t="s">
        <v>104</v>
      </c>
      <c r="L539" t="s">
        <v>360</v>
      </c>
      <c r="M539" t="s">
        <v>56</v>
      </c>
      <c r="N539" t="s">
        <v>56</v>
      </c>
      <c r="O539" t="s">
        <v>56</v>
      </c>
      <c r="P539" t="s">
        <v>56</v>
      </c>
    </row>
    <row r="540" spans="1:16">
      <c r="A540" s="23" t="str">
        <f t="shared" si="299"/>
        <v>Q4 Shop 2</v>
      </c>
      <c r="B540" s="36" t="str">
        <f t="shared" ref="B540:C540" si="324">B539</f>
        <v>Q4</v>
      </c>
      <c r="C540" s="33">
        <f t="shared" si="324"/>
        <v>2</v>
      </c>
      <c r="D540" t="str">
        <f t="shared" si="277"/>
        <v>Kearny Mesa Toyota</v>
      </c>
      <c r="E540" t="str">
        <f>IF($J540="","",IFERROR(VLOOKUP($J540,KEY!$D$6:$F$76,3,FALSE),""))</f>
        <v>Southern California</v>
      </c>
      <c r="F540" t="str">
        <f>IF($J540="","",IFERROR(VLOOKUP($J540,KEY!$D$6:$F$76,2,FALSE),""))</f>
        <v>Toyota</v>
      </c>
      <c r="G540" t="str">
        <f t="shared" si="301"/>
        <v>Q4 Shop 2_Kearny Mesa Toyota</v>
      </c>
      <c r="H540" s="30">
        <f t="shared" si="315"/>
        <v>4</v>
      </c>
      <c r="I540" s="30">
        <f t="shared" si="316"/>
        <v>4</v>
      </c>
      <c r="J540" s="110" t="s">
        <v>112</v>
      </c>
      <c r="L540" t="s">
        <v>456</v>
      </c>
      <c r="M540" t="s">
        <v>57</v>
      </c>
      <c r="N540" t="s">
        <v>57</v>
      </c>
      <c r="O540" t="s">
        <v>57</v>
      </c>
      <c r="P540" t="s">
        <v>57</v>
      </c>
    </row>
    <row r="541" spans="1:16">
      <c r="A541" s="23" t="str">
        <f t="shared" si="299"/>
        <v>Q4 Shop 2</v>
      </c>
      <c r="B541" s="36" t="str">
        <f t="shared" ref="B541:C541" si="325">B540</f>
        <v>Q4</v>
      </c>
      <c r="C541" s="33">
        <f t="shared" si="325"/>
        <v>2</v>
      </c>
      <c r="D541" t="str">
        <f t="shared" si="277"/>
        <v>Lexus San Diego</v>
      </c>
      <c r="E541" t="str">
        <f>IF($J541="","",IFERROR(VLOOKUP($J541,KEY!$D$6:$F$76,3,FALSE),""))</f>
        <v>Southern California</v>
      </c>
      <c r="F541" t="str">
        <f>IF($J541="","",IFERROR(VLOOKUP($J541,KEY!$D$6:$F$76,2,FALSE),""))</f>
        <v>Lexus</v>
      </c>
      <c r="G541" t="str">
        <f t="shared" si="301"/>
        <v>Q4 Shop 2_Lexus San Diego</v>
      </c>
      <c r="H541" s="30">
        <f t="shared" si="315"/>
        <v>4</v>
      </c>
      <c r="I541" s="30">
        <f t="shared" si="316"/>
        <v>4</v>
      </c>
      <c r="J541" s="110" t="s">
        <v>126</v>
      </c>
      <c r="L541" t="s">
        <v>522</v>
      </c>
      <c r="M541" t="s">
        <v>57</v>
      </c>
      <c r="N541" t="s">
        <v>57</v>
      </c>
      <c r="O541" t="s">
        <v>57</v>
      </c>
      <c r="P541" t="s">
        <v>57</v>
      </c>
    </row>
    <row r="542" spans="1:16">
      <c r="A542" s="23" t="str">
        <f t="shared" si="299"/>
        <v>Q4 Shop 2</v>
      </c>
      <c r="B542" s="36" t="str">
        <f t="shared" ref="B542:C542" si="326">B541</f>
        <v>Q4</v>
      </c>
      <c r="C542" s="33">
        <f t="shared" si="326"/>
        <v>2</v>
      </c>
      <c r="D542" t="str">
        <f t="shared" si="277"/>
        <v>Mazda of Escondido</v>
      </c>
      <c r="E542" t="str">
        <f>IF($J542="","",IFERROR(VLOOKUP($J542,KEY!$D$6:$F$76,3,FALSE),""))</f>
        <v>Southern California</v>
      </c>
      <c r="F542" t="str">
        <f>IF($J542="","",IFERROR(VLOOKUP($J542,KEY!$D$6:$F$76,2,FALSE),""))</f>
        <v>Mazda</v>
      </c>
      <c r="G542" t="str">
        <f t="shared" si="301"/>
        <v>Q4 Shop 2_Mazda of Escondido</v>
      </c>
      <c r="H542" s="30">
        <f t="shared" si="315"/>
        <v>4</v>
      </c>
      <c r="I542" s="30">
        <f t="shared" si="316"/>
        <v>4</v>
      </c>
      <c r="J542" s="110" t="s">
        <v>130</v>
      </c>
      <c r="L542" t="s">
        <v>364</v>
      </c>
      <c r="M542" t="s">
        <v>57</v>
      </c>
      <c r="N542" t="s">
        <v>57</v>
      </c>
      <c r="O542" t="s">
        <v>57</v>
      </c>
      <c r="P542" t="s">
        <v>57</v>
      </c>
    </row>
    <row r="543" spans="1:16">
      <c r="A543" s="23" t="str">
        <f t="shared" si="299"/>
        <v>Q4 Shop 2</v>
      </c>
      <c r="B543" s="36" t="str">
        <f t="shared" ref="B543:C543" si="327">B542</f>
        <v>Q4</v>
      </c>
      <c r="C543" s="33">
        <f t="shared" si="327"/>
        <v>2</v>
      </c>
      <c r="D543" t="str">
        <f t="shared" si="277"/>
        <v>Mercedes-Benz of San Diego</v>
      </c>
      <c r="E543" t="str">
        <f>IF($J543="","",IFERROR(VLOOKUP($J543,KEY!$D$6:$F$76,3,FALSE),""))</f>
        <v>Southern California</v>
      </c>
      <c r="F543" t="str">
        <f>IF($J543="","",IFERROR(VLOOKUP($J543,KEY!$D$6:$F$76,2,FALSE),""))</f>
        <v>Mercedes-Benz</v>
      </c>
      <c r="G543" t="str">
        <f t="shared" si="301"/>
        <v>Q4 Shop 2_Mercedes-Benz of San Diego</v>
      </c>
      <c r="H543" s="30">
        <f t="shared" si="315"/>
        <v>4</v>
      </c>
      <c r="I543" s="30">
        <f t="shared" si="316"/>
        <v>4</v>
      </c>
      <c r="J543" s="110" t="s">
        <v>136</v>
      </c>
      <c r="L543" t="s">
        <v>523</v>
      </c>
      <c r="M543" t="s">
        <v>57</v>
      </c>
      <c r="N543" t="s">
        <v>57</v>
      </c>
      <c r="O543" t="s">
        <v>57</v>
      </c>
      <c r="P543" t="s">
        <v>57</v>
      </c>
    </row>
    <row r="544" spans="1:16">
      <c r="A544" s="23" t="str">
        <f t="shared" si="299"/>
        <v>Q4 Shop 2</v>
      </c>
      <c r="B544" s="36" t="str">
        <f t="shared" ref="B544:C544" si="328">B543</f>
        <v>Q4</v>
      </c>
      <c r="C544" s="33">
        <f t="shared" si="328"/>
        <v>2</v>
      </c>
      <c r="D544" t="str">
        <f t="shared" si="277"/>
        <v>MINI of San Diego</v>
      </c>
      <c r="E544" t="str">
        <f>IF($J544="","",IFERROR(VLOOKUP($J544,KEY!$D$6:$F$76,3,FALSE),""))</f>
        <v>Southern California</v>
      </c>
      <c r="F544" t="str">
        <f>IF($J544="","",IFERROR(VLOOKUP($J544,KEY!$D$6:$F$76,2,FALSE),""))</f>
        <v>MINI</v>
      </c>
      <c r="G544" t="str">
        <f t="shared" si="301"/>
        <v>Q4 Shop 2_MINI of San Diego</v>
      </c>
      <c r="H544" s="30">
        <f t="shared" si="315"/>
        <v>4</v>
      </c>
      <c r="I544" s="30">
        <f t="shared" si="316"/>
        <v>4</v>
      </c>
      <c r="J544" s="110" t="s">
        <v>146</v>
      </c>
      <c r="L544" t="s">
        <v>524</v>
      </c>
      <c r="M544" t="s">
        <v>57</v>
      </c>
      <c r="N544" t="s">
        <v>57</v>
      </c>
      <c r="O544" t="s">
        <v>57</v>
      </c>
      <c r="P544" t="s">
        <v>57</v>
      </c>
    </row>
    <row r="545" spans="1:16">
      <c r="A545" s="23" t="str">
        <f t="shared" si="299"/>
        <v>Q4 Shop 2</v>
      </c>
      <c r="B545" s="36" t="str">
        <f t="shared" ref="B545:C545" si="329">B544</f>
        <v>Q4</v>
      </c>
      <c r="C545" s="33">
        <f t="shared" si="329"/>
        <v>2</v>
      </c>
      <c r="D545" t="str">
        <f t="shared" si="277"/>
        <v>BMW of Austin</v>
      </c>
      <c r="E545" t="str">
        <f>IF($J545="","",IFERROR(VLOOKUP($J545,KEY!$D$6:$F$76,3,FALSE),""))</f>
        <v>Texas</v>
      </c>
      <c r="F545" t="str">
        <f>IF($J545="","",IFERROR(VLOOKUP($J545,KEY!$D$6:$F$76,2,FALSE),""))</f>
        <v>BMW</v>
      </c>
      <c r="G545" t="str">
        <f t="shared" si="301"/>
        <v>Q4 Shop 2_BMW of Austin</v>
      </c>
      <c r="H545" s="30">
        <f t="shared" si="315"/>
        <v>4</v>
      </c>
      <c r="I545" s="30">
        <f t="shared" si="316"/>
        <v>3</v>
      </c>
      <c r="J545" s="110" t="s">
        <v>76</v>
      </c>
      <c r="L545" t="s">
        <v>525</v>
      </c>
      <c r="M545" t="s">
        <v>57</v>
      </c>
      <c r="N545" t="s">
        <v>56</v>
      </c>
      <c r="O545" t="s">
        <v>57</v>
      </c>
      <c r="P545" t="s">
        <v>57</v>
      </c>
    </row>
    <row r="546" spans="1:16">
      <c r="A546" s="23" t="str">
        <f t="shared" si="299"/>
        <v>Q4 Shop 2</v>
      </c>
      <c r="B546" s="36" t="str">
        <f t="shared" ref="B546:C546" si="330">B545</f>
        <v>Q4</v>
      </c>
      <c r="C546" s="33">
        <f t="shared" si="330"/>
        <v>2</v>
      </c>
      <c r="D546" t="str">
        <f t="shared" si="277"/>
        <v>Genesis of Round Rock</v>
      </c>
      <c r="E546" t="str">
        <f>IF($J546="","",IFERROR(VLOOKUP($J546,KEY!$D$6:$F$76,3,FALSE),""))</f>
        <v>Texas</v>
      </c>
      <c r="F546" t="str">
        <f>IF($J546="","",IFERROR(VLOOKUP($J546,KEY!$D$6:$F$76,2,FALSE),""))</f>
        <v>Genesis</v>
      </c>
      <c r="G546" t="str">
        <f t="shared" si="301"/>
        <v>Q4 Shop 2_Genesis of Round Rock</v>
      </c>
      <c r="H546" s="30">
        <f t="shared" si="315"/>
        <v>4</v>
      </c>
      <c r="I546" s="30">
        <f t="shared" si="316"/>
        <v>4</v>
      </c>
      <c r="J546" s="110" t="s">
        <v>98</v>
      </c>
      <c r="L546" t="s">
        <v>526</v>
      </c>
      <c r="M546" t="s">
        <v>57</v>
      </c>
      <c r="N546" t="s">
        <v>57</v>
      </c>
      <c r="O546" t="s">
        <v>57</v>
      </c>
      <c r="P546" t="s">
        <v>57</v>
      </c>
    </row>
    <row r="547" spans="1:16">
      <c r="A547" s="23" t="str">
        <f t="shared" si="299"/>
        <v>Q4 Shop 2</v>
      </c>
      <c r="B547" s="36" t="str">
        <f t="shared" ref="B547:C547" si="331">B546</f>
        <v>Q4</v>
      </c>
      <c r="C547" s="33">
        <f t="shared" si="331"/>
        <v>2</v>
      </c>
      <c r="D547" t="str">
        <f t="shared" si="277"/>
        <v>Honda Leander</v>
      </c>
      <c r="E547" t="str">
        <f>IF($J547="","",IFERROR(VLOOKUP($J547,KEY!$D$6:$F$76,3,FALSE),""))</f>
        <v>Texas</v>
      </c>
      <c r="F547" t="str">
        <f>IF($J547="","",IFERROR(VLOOKUP($J547,KEY!$D$6:$F$76,2,FALSE),""))</f>
        <v>Honda</v>
      </c>
      <c r="G547" t="str">
        <f t="shared" si="301"/>
        <v>Q4 Shop 2_Honda Leander</v>
      </c>
      <c r="H547" s="30">
        <f t="shared" si="315"/>
        <v>4</v>
      </c>
      <c r="I547" s="30">
        <f t="shared" si="316"/>
        <v>4</v>
      </c>
      <c r="J547" s="110" t="s">
        <v>100</v>
      </c>
      <c r="L547" t="s">
        <v>527</v>
      </c>
      <c r="M547" t="s">
        <v>57</v>
      </c>
      <c r="N547" t="s">
        <v>57</v>
      </c>
      <c r="O547" t="s">
        <v>57</v>
      </c>
      <c r="P547" t="s">
        <v>57</v>
      </c>
    </row>
    <row r="548" spans="1:16">
      <c r="A548" s="23" t="str">
        <f t="shared" si="299"/>
        <v>Q4 Shop 2</v>
      </c>
      <c r="B548" s="36" t="str">
        <f t="shared" ref="B548:C548" si="332">B547</f>
        <v>Q4</v>
      </c>
      <c r="C548" s="33">
        <f t="shared" si="332"/>
        <v>2</v>
      </c>
      <c r="D548" t="str">
        <f t="shared" si="277"/>
        <v>Hyundai of Leander</v>
      </c>
      <c r="E548" t="str">
        <f>IF($J548="","",IFERROR(VLOOKUP($J548,KEY!$D$6:$F$76,3,FALSE),""))</f>
        <v>Texas</v>
      </c>
      <c r="F548" t="str">
        <f>IF($J548="","",IFERROR(VLOOKUP($J548,KEY!$D$6:$F$76,2,FALSE),""))</f>
        <v>Hyundai</v>
      </c>
      <c r="G548" t="str">
        <f t="shared" si="301"/>
        <v>Q4 Shop 2_Hyundai of Leander</v>
      </c>
      <c r="H548" s="30">
        <f t="shared" si="315"/>
        <v>4</v>
      </c>
      <c r="I548" s="30">
        <f t="shared" si="316"/>
        <v>3</v>
      </c>
      <c r="J548" s="110" t="s">
        <v>417</v>
      </c>
      <c r="L548" t="s">
        <v>496</v>
      </c>
      <c r="M548" t="s">
        <v>57</v>
      </c>
      <c r="N548" t="s">
        <v>56</v>
      </c>
      <c r="O548" t="s">
        <v>57</v>
      </c>
      <c r="P548" t="s">
        <v>57</v>
      </c>
    </row>
    <row r="549" spans="1:16">
      <c r="A549" s="23" t="str">
        <f t="shared" si="299"/>
        <v>Q4 Shop 2</v>
      </c>
      <c r="B549" s="36" t="str">
        <f t="shared" ref="B549:C549" si="333">B548</f>
        <v>Q4</v>
      </c>
      <c r="C549" s="33">
        <f t="shared" si="333"/>
        <v>2</v>
      </c>
      <c r="D549" t="str">
        <f t="shared" si="277"/>
        <v>Hyundai of Pharr</v>
      </c>
      <c r="E549" t="str">
        <f>IF($J549="","",IFERROR(VLOOKUP($J549,KEY!$D$6:$F$76,3,FALSE),""))</f>
        <v>Texas</v>
      </c>
      <c r="F549" t="str">
        <f>IF($J549="","",IFERROR(VLOOKUP($J549,KEY!$D$6:$F$76,2,FALSE),""))</f>
        <v>Hyundai</v>
      </c>
      <c r="G549" t="str">
        <f t="shared" si="301"/>
        <v>Q4 Shop 2_Hyundai of Pharr</v>
      </c>
      <c r="H549" s="30">
        <f t="shared" si="315"/>
        <v>4</v>
      </c>
      <c r="I549" s="30">
        <f t="shared" si="316"/>
        <v>3</v>
      </c>
      <c r="J549" s="110" t="s">
        <v>108</v>
      </c>
      <c r="L549" t="s">
        <v>528</v>
      </c>
      <c r="M549" t="s">
        <v>57</v>
      </c>
      <c r="N549" t="s">
        <v>57</v>
      </c>
      <c r="O549" t="s">
        <v>57</v>
      </c>
      <c r="P549" t="s">
        <v>56</v>
      </c>
    </row>
    <row r="550" spans="1:16">
      <c r="A550" s="23" t="str">
        <f t="shared" si="299"/>
        <v>Q4 Shop 2</v>
      </c>
      <c r="B550" s="36" t="str">
        <f t="shared" ref="B550:C550" si="334">B549</f>
        <v>Q4</v>
      </c>
      <c r="C550" s="33">
        <f t="shared" si="334"/>
        <v>2</v>
      </c>
      <c r="D550" t="str">
        <f t="shared" si="277"/>
        <v>Lexus of Austin</v>
      </c>
      <c r="E550" t="str">
        <f>IF($J550="","",IFERROR(VLOOKUP($J550,KEY!$D$6:$F$76,3,FALSE),""))</f>
        <v>Texas</v>
      </c>
      <c r="F550" t="str">
        <f>IF($J550="","",IFERROR(VLOOKUP($J550,KEY!$D$6:$F$76,2,FALSE),""))</f>
        <v>Lexus</v>
      </c>
      <c r="G550" t="str">
        <f t="shared" si="301"/>
        <v>Q4 Shop 2_Lexus of Austin</v>
      </c>
      <c r="H550" s="30">
        <f t="shared" si="315"/>
        <v>4</v>
      </c>
      <c r="I550" s="30">
        <f t="shared" si="316"/>
        <v>2</v>
      </c>
      <c r="J550" s="110" t="s">
        <v>120</v>
      </c>
      <c r="L550" t="s">
        <v>529</v>
      </c>
      <c r="M550" t="s">
        <v>56</v>
      </c>
      <c r="N550" t="s">
        <v>57</v>
      </c>
      <c r="O550" t="s">
        <v>56</v>
      </c>
      <c r="P550" t="s">
        <v>57</v>
      </c>
    </row>
    <row r="551" spans="1:16">
      <c r="A551" s="23" t="str">
        <f t="shared" si="299"/>
        <v>Q4 Shop 2</v>
      </c>
      <c r="B551" s="36" t="str">
        <f t="shared" ref="B551:C551" si="335">B550</f>
        <v>Q4</v>
      </c>
      <c r="C551" s="33">
        <f t="shared" si="335"/>
        <v>2</v>
      </c>
      <c r="D551" t="str">
        <f t="shared" si="277"/>
        <v>Lexus of Lakeway</v>
      </c>
      <c r="E551" t="str">
        <f>IF($J551="","",IFERROR(VLOOKUP($J551,KEY!$D$6:$F$76,3,FALSE),""))</f>
        <v>Texas</v>
      </c>
      <c r="F551" t="str">
        <f>IF($J551="","",IFERROR(VLOOKUP($J551,KEY!$D$6:$F$76,2,FALSE),""))</f>
        <v>Lexus</v>
      </c>
      <c r="G551" t="str">
        <f t="shared" si="301"/>
        <v>Q4 Shop 2_Lexus of Lakeway</v>
      </c>
      <c r="H551" s="30">
        <f t="shared" si="315"/>
        <v>4</v>
      </c>
      <c r="I551" s="30">
        <f t="shared" si="316"/>
        <v>4</v>
      </c>
      <c r="J551" s="110" t="s">
        <v>124</v>
      </c>
      <c r="L551" t="s">
        <v>499</v>
      </c>
      <c r="M551" t="s">
        <v>57</v>
      </c>
      <c r="N551" t="s">
        <v>57</v>
      </c>
      <c r="O551" t="s">
        <v>57</v>
      </c>
      <c r="P551" t="s">
        <v>57</v>
      </c>
    </row>
    <row r="552" spans="1:16">
      <c r="A552" s="23" t="str">
        <f t="shared" si="299"/>
        <v>Q4 Shop 2</v>
      </c>
      <c r="B552" s="36" t="str">
        <f t="shared" ref="B552:C552" si="336">B551</f>
        <v>Q4</v>
      </c>
      <c r="C552" s="33">
        <f t="shared" si="336"/>
        <v>2</v>
      </c>
      <c r="D552" t="str">
        <f t="shared" si="277"/>
        <v>MINI of Austin</v>
      </c>
      <c r="E552" t="str">
        <f>IF($J552="","",IFERROR(VLOOKUP($J552,KEY!$D$6:$F$76,3,FALSE),""))</f>
        <v>Texas</v>
      </c>
      <c r="F552" t="str">
        <f>IF($J552="","",IFERROR(VLOOKUP($J552,KEY!$D$6:$F$76,2,FALSE),""))</f>
        <v>MINI</v>
      </c>
      <c r="G552" t="str">
        <f t="shared" si="301"/>
        <v>Q4 Shop 2_MINI of Austin</v>
      </c>
      <c r="H552" s="30">
        <f t="shared" si="315"/>
        <v>4</v>
      </c>
      <c r="I552" s="30">
        <f t="shared" si="316"/>
        <v>4</v>
      </c>
      <c r="J552" s="110" t="s">
        <v>140</v>
      </c>
      <c r="L552" t="s">
        <v>373</v>
      </c>
      <c r="M552" t="s">
        <v>57</v>
      </c>
      <c r="N552" t="s">
        <v>57</v>
      </c>
      <c r="O552" t="s">
        <v>57</v>
      </c>
      <c r="P552" t="s">
        <v>57</v>
      </c>
    </row>
    <row r="553" spans="1:16">
      <c r="A553" s="23" t="str">
        <f t="shared" si="299"/>
        <v>Q4 Shop 2</v>
      </c>
      <c r="B553" s="36" t="str">
        <f t="shared" ref="B553:C553" si="337">B552</f>
        <v>Q4</v>
      </c>
      <c r="C553" s="33">
        <f t="shared" si="337"/>
        <v>2</v>
      </c>
      <c r="D553" t="str">
        <f t="shared" si="277"/>
        <v>Round Rock Honda</v>
      </c>
      <c r="E553" t="str">
        <f>IF($J553="","",IFERROR(VLOOKUP($J553,KEY!$D$6:$F$76,3,FALSE),""))</f>
        <v>Texas</v>
      </c>
      <c r="F553" t="str">
        <f>IF($J553="","",IFERROR(VLOOKUP($J553,KEY!$D$6:$F$76,2,FALSE),""))</f>
        <v>Honda</v>
      </c>
      <c r="G553" t="str">
        <f t="shared" si="301"/>
        <v>Q4 Shop 2_Round Rock Honda</v>
      </c>
      <c r="H553" s="30">
        <f t="shared" si="315"/>
        <v>4</v>
      </c>
      <c r="I553" s="30">
        <f t="shared" si="316"/>
        <v>3</v>
      </c>
      <c r="J553" s="110" t="s">
        <v>164</v>
      </c>
      <c r="L553" t="s">
        <v>530</v>
      </c>
      <c r="M553" t="s">
        <v>56</v>
      </c>
      <c r="N553" t="s">
        <v>57</v>
      </c>
      <c r="O553" t="s">
        <v>57</v>
      </c>
      <c r="P553" t="s">
        <v>57</v>
      </c>
    </row>
    <row r="554" spans="1:16">
      <c r="A554" s="23" t="str">
        <f t="shared" si="299"/>
        <v>Q4 Shop 2</v>
      </c>
      <c r="B554" s="36" t="str">
        <f t="shared" ref="B554:C554" si="338">B553</f>
        <v>Q4</v>
      </c>
      <c r="C554" s="33">
        <f t="shared" si="338"/>
        <v>2</v>
      </c>
      <c r="D554" t="str">
        <f t="shared" si="277"/>
        <v>Round Rock Hyundai</v>
      </c>
      <c r="E554" t="str">
        <f>IF($J554="","",IFERROR(VLOOKUP($J554,KEY!$D$6:$F$76,3,FALSE),""))</f>
        <v>Texas</v>
      </c>
      <c r="F554" t="str">
        <f>IF($J554="","",IFERROR(VLOOKUP($J554,KEY!$D$6:$F$76,2,FALSE),""))</f>
        <v>Hyundai</v>
      </c>
      <c r="G554" t="str">
        <f t="shared" si="301"/>
        <v>Q4 Shop 2_Round Rock Hyundai</v>
      </c>
      <c r="H554" s="30">
        <f t="shared" si="315"/>
        <v>4</v>
      </c>
      <c r="I554" s="30">
        <f t="shared" si="316"/>
        <v>4</v>
      </c>
      <c r="J554" s="110" t="s">
        <v>166</v>
      </c>
      <c r="L554" t="s">
        <v>465</v>
      </c>
      <c r="M554" t="s">
        <v>57</v>
      </c>
      <c r="N554" t="s">
        <v>57</v>
      </c>
      <c r="O554" t="s">
        <v>57</v>
      </c>
      <c r="P554" t="s">
        <v>57</v>
      </c>
    </row>
    <row r="555" spans="1:16">
      <c r="A555" s="23" t="str">
        <f t="shared" si="299"/>
        <v>Q4 Shop 2</v>
      </c>
      <c r="B555" s="36" t="str">
        <f t="shared" ref="B555:C555" si="339">B554</f>
        <v>Q4</v>
      </c>
      <c r="C555" s="33">
        <f t="shared" si="339"/>
        <v>2</v>
      </c>
      <c r="D555" t="str">
        <f t="shared" si="277"/>
        <v>Round Rock Toyota</v>
      </c>
      <c r="E555" t="str">
        <f>IF($J555="","",IFERROR(VLOOKUP($J555,KEY!$D$6:$F$76,3,FALSE),""))</f>
        <v>Texas</v>
      </c>
      <c r="F555" t="str">
        <f>IF($J555="","",IFERROR(VLOOKUP($J555,KEY!$D$6:$F$76,2,FALSE),""))</f>
        <v>Toyota</v>
      </c>
      <c r="G555" t="str">
        <f t="shared" si="301"/>
        <v>Q4 Shop 2_Round Rock Toyota</v>
      </c>
      <c r="H555" s="30">
        <f t="shared" si="315"/>
        <v>4</v>
      </c>
      <c r="I555" s="30">
        <f t="shared" si="316"/>
        <v>3</v>
      </c>
      <c r="J555" s="110" t="s">
        <v>168</v>
      </c>
      <c r="L555" t="s">
        <v>376</v>
      </c>
      <c r="M555" t="s">
        <v>57</v>
      </c>
      <c r="N555" t="s">
        <v>56</v>
      </c>
      <c r="O555" t="s">
        <v>57</v>
      </c>
      <c r="P555" t="s">
        <v>57</v>
      </c>
    </row>
    <row r="556" spans="1:16">
      <c r="A556" s="23" t="str">
        <f t="shared" si="299"/>
        <v>Q4 Shop 2</v>
      </c>
      <c r="B556" s="36" t="str">
        <f t="shared" ref="B556:C556" si="340">B555</f>
        <v>Q4</v>
      </c>
      <c r="C556" s="33">
        <f t="shared" si="340"/>
        <v>2</v>
      </c>
      <c r="D556" t="str">
        <f t="shared" si="277"/>
        <v>BMW of Bloomfield Hills</v>
      </c>
      <c r="E556" t="str">
        <f>IF($J556="","",IFERROR(VLOOKUP($J556,KEY!$D$6:$F$76,3,FALSE),""))</f>
        <v>Michigan &amp; Minnesota</v>
      </c>
      <c r="F556" t="str">
        <f>IF($J556="","",IFERROR(VLOOKUP($J556,KEY!$D$6:$F$76,2,FALSE),""))</f>
        <v>BMW</v>
      </c>
      <c r="G556" t="str">
        <f t="shared" si="301"/>
        <v>Q4 Shop 2_BMW of Bloomfield Hills</v>
      </c>
      <c r="H556" s="30">
        <f t="shared" si="315"/>
        <v>4</v>
      </c>
      <c r="I556" s="30">
        <f t="shared" si="316"/>
        <v>1</v>
      </c>
      <c r="J556" s="110" t="s">
        <v>78</v>
      </c>
      <c r="L556" t="s">
        <v>531</v>
      </c>
      <c r="M556" t="s">
        <v>56</v>
      </c>
      <c r="N556" t="s">
        <v>56</v>
      </c>
      <c r="O556" t="s">
        <v>57</v>
      </c>
      <c r="P556" t="s">
        <v>56</v>
      </c>
    </row>
    <row r="557" spans="1:16">
      <c r="A557" s="23" t="str">
        <f t="shared" si="299"/>
        <v>Q4 Shop 2</v>
      </c>
      <c r="B557" s="36" t="str">
        <f t="shared" ref="B557:C557" si="341">B556</f>
        <v>Q4</v>
      </c>
      <c r="C557" s="33">
        <f t="shared" si="341"/>
        <v>2</v>
      </c>
      <c r="D557" t="str">
        <f t="shared" si="277"/>
        <v>East Madison Toyota</v>
      </c>
      <c r="E557" t="str">
        <f>IF($J557="","",IFERROR(VLOOKUP($J557,KEY!$D$6:$F$76,3,FALSE),""))</f>
        <v>Wisconsin</v>
      </c>
      <c r="F557" t="str">
        <f>IF($J557="","",IFERROR(VLOOKUP($J557,KEY!$D$6:$F$76,2,FALSE),""))</f>
        <v>Toyota</v>
      </c>
      <c r="G557" t="str">
        <f t="shared" si="301"/>
        <v>Q4 Shop 2_East Madison Toyota</v>
      </c>
      <c r="H557" s="30">
        <f t="shared" si="315"/>
        <v>4</v>
      </c>
      <c r="I557" s="30">
        <f t="shared" si="316"/>
        <v>3</v>
      </c>
      <c r="J557" s="110" t="s">
        <v>94</v>
      </c>
      <c r="L557" t="s">
        <v>424</v>
      </c>
      <c r="M557" t="s">
        <v>56</v>
      </c>
      <c r="N557" t="s">
        <v>57</v>
      </c>
      <c r="O557" t="s">
        <v>57</v>
      </c>
      <c r="P557" t="s">
        <v>57</v>
      </c>
    </row>
    <row r="558" spans="1:16">
      <c r="A558" s="23" t="str">
        <f t="shared" si="299"/>
        <v>Q4 Shop 2</v>
      </c>
      <c r="B558" s="36" t="str">
        <f t="shared" ref="B558:C558" si="342">B557</f>
        <v>Q4</v>
      </c>
      <c r="C558" s="33">
        <f t="shared" si="342"/>
        <v>2</v>
      </c>
      <c r="D558" t="str">
        <f t="shared" si="277"/>
        <v>Genesis of Noblesville</v>
      </c>
      <c r="E558" t="str">
        <f>IF($J558="","",IFERROR(VLOOKUP($J558,KEY!$D$6:$F$76,3,FALSE),""))</f>
        <v/>
      </c>
      <c r="F558" t="str">
        <f>IF($J558="","",IFERROR(VLOOKUP($J558,KEY!$D$6:$F$76,2,FALSE),""))</f>
        <v/>
      </c>
      <c r="G558" t="str">
        <f t="shared" si="301"/>
        <v>Q4 Shop 2_Genesis of Noblesville</v>
      </c>
      <c r="H558" s="30">
        <f t="shared" si="315"/>
        <v>4</v>
      </c>
      <c r="I558" s="30">
        <f t="shared" si="316"/>
        <v>4</v>
      </c>
      <c r="J558" s="110" t="s">
        <v>96</v>
      </c>
      <c r="L558" t="s">
        <v>503</v>
      </c>
      <c r="M558" t="s">
        <v>57</v>
      </c>
      <c r="N558" t="s">
        <v>57</v>
      </c>
      <c r="O558" t="s">
        <v>57</v>
      </c>
      <c r="P558" t="s">
        <v>57</v>
      </c>
    </row>
    <row r="559" spans="1:16">
      <c r="A559" s="23" t="str">
        <f t="shared" si="299"/>
        <v>Q4 Shop 2</v>
      </c>
      <c r="B559" s="36" t="str">
        <f t="shared" ref="B559:C559" si="343">B558</f>
        <v>Q4</v>
      </c>
      <c r="C559" s="33">
        <f t="shared" si="343"/>
        <v>2</v>
      </c>
      <c r="D559" t="str">
        <f t="shared" si="277"/>
        <v>Hyundai of Noblesville</v>
      </c>
      <c r="E559" t="str">
        <f>IF($J559="","",IFERROR(VLOOKUP($J559,KEY!$D$6:$F$76,3,FALSE),""))</f>
        <v/>
      </c>
      <c r="F559" t="str">
        <f>IF($J559="","",IFERROR(VLOOKUP($J559,KEY!$D$6:$F$76,2,FALSE),""))</f>
        <v/>
      </c>
      <c r="G559" t="str">
        <f t="shared" si="301"/>
        <v>Q4 Shop 2_Hyundai of Noblesville</v>
      </c>
      <c r="H559" s="30">
        <f t="shared" si="315"/>
        <v>4</v>
      </c>
      <c r="I559" s="30">
        <f t="shared" si="316"/>
        <v>4</v>
      </c>
      <c r="J559" s="110" t="s">
        <v>106</v>
      </c>
      <c r="L559" t="s">
        <v>532</v>
      </c>
      <c r="M559" t="s">
        <v>57</v>
      </c>
      <c r="N559" t="s">
        <v>57</v>
      </c>
      <c r="O559" t="s">
        <v>57</v>
      </c>
      <c r="P559" t="s">
        <v>57</v>
      </c>
    </row>
    <row r="560" spans="1:16">
      <c r="A560" s="23" t="str">
        <f t="shared" si="299"/>
        <v>Q4 Shop 2</v>
      </c>
      <c r="B560" s="36" t="str">
        <f t="shared" ref="B560:C560" si="344">B559</f>
        <v>Q4</v>
      </c>
      <c r="C560" s="33">
        <f t="shared" si="344"/>
        <v>2</v>
      </c>
      <c r="D560" t="str">
        <f t="shared" si="277"/>
        <v>Motorwerks BMW</v>
      </c>
      <c r="E560" t="str">
        <f>IF($J560="","",IFERROR(VLOOKUP($J560,KEY!$D$6:$F$76,3,FALSE),""))</f>
        <v>Michigan &amp; Minnesota</v>
      </c>
      <c r="F560" t="str">
        <f>IF($J560="","",IFERROR(VLOOKUP($J560,KEY!$D$6:$F$76,2,FALSE),""))</f>
        <v>BMW</v>
      </c>
      <c r="G560" t="str">
        <f t="shared" si="301"/>
        <v>Q4 Shop 2_Motorwerks BMW</v>
      </c>
      <c r="H560" s="30">
        <f t="shared" si="315"/>
        <v>4</v>
      </c>
      <c r="I560" s="30">
        <f t="shared" si="316"/>
        <v>3</v>
      </c>
      <c r="J560" s="110" t="s">
        <v>150</v>
      </c>
      <c r="L560" t="s">
        <v>533</v>
      </c>
      <c r="M560" t="s">
        <v>57</v>
      </c>
      <c r="N560" t="s">
        <v>57</v>
      </c>
      <c r="O560" t="s">
        <v>57</v>
      </c>
      <c r="P560" t="s">
        <v>56</v>
      </c>
    </row>
    <row r="561" spans="1:16">
      <c r="A561" s="23" t="str">
        <f t="shared" si="299"/>
        <v>Q4 Shop 2</v>
      </c>
      <c r="B561" s="36" t="str">
        <f t="shared" ref="B561:C561" si="345">B560</f>
        <v>Q4</v>
      </c>
      <c r="C561" s="33">
        <f t="shared" si="345"/>
        <v>2</v>
      </c>
      <c r="D561" t="str">
        <f t="shared" si="277"/>
        <v>Motorwerks MINI</v>
      </c>
      <c r="E561" t="str">
        <f>IF($J561="","",IFERROR(VLOOKUP($J561,KEY!$D$6:$F$76,3,FALSE),""))</f>
        <v>Michigan &amp; Minnesota</v>
      </c>
      <c r="F561" t="str">
        <f>IF($J561="","",IFERROR(VLOOKUP($J561,KEY!$D$6:$F$76,2,FALSE),""))</f>
        <v>MINI</v>
      </c>
      <c r="G561" t="str">
        <f t="shared" si="301"/>
        <v>Q4 Shop 2_Motorwerks MINI</v>
      </c>
      <c r="H561" s="30">
        <f t="shared" si="315"/>
        <v>4</v>
      </c>
      <c r="I561" s="30">
        <f t="shared" si="316"/>
        <v>4</v>
      </c>
      <c r="J561" s="110" t="s">
        <v>152</v>
      </c>
      <c r="L561" t="s">
        <v>506</v>
      </c>
      <c r="M561" t="s">
        <v>57</v>
      </c>
      <c r="N561" t="s">
        <v>57</v>
      </c>
      <c r="O561" t="s">
        <v>57</v>
      </c>
      <c r="P561" t="s">
        <v>57</v>
      </c>
    </row>
    <row r="562" spans="1:16">
      <c r="A562" s="23" t="str">
        <f t="shared" si="299"/>
        <v>Q4 Shop 2</v>
      </c>
      <c r="B562" s="36" t="str">
        <f t="shared" ref="B562:C562" si="346">B561</f>
        <v>Q4</v>
      </c>
      <c r="C562" s="33">
        <f t="shared" si="346"/>
        <v>2</v>
      </c>
      <c r="D562" t="str">
        <f t="shared" si="277"/>
        <v>Penske Honda</v>
      </c>
      <c r="E562" t="str">
        <f>IF($J562="","",IFERROR(VLOOKUP($J562,KEY!$D$6:$F$76,3,FALSE),""))</f>
        <v>Indiana</v>
      </c>
      <c r="F562" t="str">
        <f>IF($J562="","",IFERROR(VLOOKUP($J562,KEY!$D$6:$F$76,2,FALSE),""))</f>
        <v>Honda</v>
      </c>
      <c r="G562" t="str">
        <f t="shared" si="301"/>
        <v>Q4 Shop 2_Penske Honda</v>
      </c>
      <c r="H562" s="30">
        <f t="shared" si="315"/>
        <v>4</v>
      </c>
      <c r="I562" s="30">
        <f t="shared" si="316"/>
        <v>4</v>
      </c>
      <c r="J562" s="110" t="s">
        <v>156</v>
      </c>
      <c r="L562" t="s">
        <v>534</v>
      </c>
      <c r="M562" t="s">
        <v>57</v>
      </c>
      <c r="N562" t="s">
        <v>57</v>
      </c>
      <c r="O562" t="s">
        <v>57</v>
      </c>
      <c r="P562" t="s">
        <v>57</v>
      </c>
    </row>
    <row r="563" spans="1:16">
      <c r="A563" s="23" t="str">
        <f t="shared" si="299"/>
        <v>Q4 Shop 2</v>
      </c>
      <c r="B563" s="36" t="str">
        <f t="shared" ref="B563:C563" si="347">B562</f>
        <v>Q4</v>
      </c>
      <c r="C563" s="33">
        <f t="shared" si="347"/>
        <v>2</v>
      </c>
      <c r="D563" t="str">
        <f t="shared" si="277"/>
        <v>Penske Chevrolet</v>
      </c>
      <c r="E563" t="str">
        <f>IF($J563="","",IFERROR(VLOOKUP($J563,KEY!$D$6:$F$76,3,FALSE),""))</f>
        <v>Indiana</v>
      </c>
      <c r="F563" t="str">
        <f>IF($J563="","",IFERROR(VLOOKUP($J563,KEY!$D$6:$F$76,2,FALSE),""))</f>
        <v>Chevrolet</v>
      </c>
      <c r="G563" t="str">
        <f t="shared" si="301"/>
        <v>Q4 Shop 2_Penske Chevrolet</v>
      </c>
      <c r="H563" s="30">
        <f t="shared" si="315"/>
        <v>4</v>
      </c>
      <c r="I563" s="30">
        <f t="shared" si="316"/>
        <v>4</v>
      </c>
      <c r="J563" s="110" t="s">
        <v>154</v>
      </c>
      <c r="L563" t="s">
        <v>344</v>
      </c>
      <c r="M563" t="s">
        <v>57</v>
      </c>
      <c r="N563" t="s">
        <v>57</v>
      </c>
      <c r="O563" t="s">
        <v>57</v>
      </c>
      <c r="P563" t="s">
        <v>57</v>
      </c>
    </row>
    <row r="564" spans="1:16">
      <c r="A564" s="23" t="str">
        <f t="shared" si="299"/>
        <v>Q4 Shop 2</v>
      </c>
      <c r="B564" s="36" t="str">
        <f t="shared" ref="B564:C564" si="348">B563</f>
        <v>Q4</v>
      </c>
      <c r="C564" s="33">
        <f t="shared" si="348"/>
        <v>2</v>
      </c>
      <c r="D564" t="str">
        <f t="shared" si="277"/>
        <v/>
      </c>
      <c r="E564" t="str">
        <f>IF($J564="","",IFERROR(VLOOKUP($J564,KEY!$D$6:$F$76,3,FALSE),""))</f>
        <v/>
      </c>
      <c r="F564" t="str">
        <f>IF($J564="","",IFERROR(VLOOKUP($J564,KEY!$D$6:$F$76,2,FALSE),""))</f>
        <v/>
      </c>
      <c r="G564" t="str">
        <f t="shared" si="301"/>
        <v/>
      </c>
      <c r="H564" s="30" t="str">
        <f t="shared" ref="H564:H569" si="349">IF($J564="","",COUNTIF($M564:$V564,"*"))</f>
        <v/>
      </c>
      <c r="I564" s="30" t="str">
        <f t="shared" ref="I564:I569" si="350">IF($J564="","",COUNTIF($M564:$V564,"YES*"))</f>
        <v/>
      </c>
      <c r="J564" s="110"/>
    </row>
    <row r="565" spans="1:16">
      <c r="A565" s="23" t="str">
        <f t="shared" si="299"/>
        <v>Q4 Shop 2</v>
      </c>
      <c r="B565" s="36" t="str">
        <f t="shared" ref="B565:C565" si="351">B564</f>
        <v>Q4</v>
      </c>
      <c r="C565" s="33">
        <f t="shared" si="351"/>
        <v>2</v>
      </c>
      <c r="D565" t="str">
        <f t="shared" si="277"/>
        <v/>
      </c>
      <c r="E565" t="str">
        <f>IF($J565="","",IFERROR(VLOOKUP($J565,KEY!$D$6:$F$76,3,FALSE),""))</f>
        <v/>
      </c>
      <c r="F565" t="str">
        <f>IF($J565="","",IFERROR(VLOOKUP($J565,KEY!$D$6:$F$76,2,FALSE),""))</f>
        <v/>
      </c>
      <c r="G565" t="str">
        <f t="shared" si="301"/>
        <v/>
      </c>
      <c r="H565" s="30" t="str">
        <f t="shared" si="349"/>
        <v/>
      </c>
      <c r="I565" s="30" t="str">
        <f t="shared" si="350"/>
        <v/>
      </c>
      <c r="J565" s="110"/>
    </row>
    <row r="566" spans="1:16">
      <c r="A566" s="23" t="str">
        <f t="shared" si="299"/>
        <v>Q4 Shop 2</v>
      </c>
      <c r="B566" s="36" t="str">
        <f t="shared" ref="B566:C566" si="352">B565</f>
        <v>Q4</v>
      </c>
      <c r="C566" s="33">
        <f t="shared" si="352"/>
        <v>2</v>
      </c>
      <c r="D566" t="str">
        <f t="shared" si="277"/>
        <v/>
      </c>
      <c r="E566" t="str">
        <f>IF($J566="","",IFERROR(VLOOKUP($J566,KEY!$D$6:$F$76,3,FALSE),""))</f>
        <v/>
      </c>
      <c r="F566" t="str">
        <f>IF($J566="","",IFERROR(VLOOKUP($J566,KEY!$D$6:$F$76,2,FALSE),""))</f>
        <v/>
      </c>
      <c r="G566" t="str">
        <f t="shared" si="301"/>
        <v/>
      </c>
      <c r="H566" s="30" t="str">
        <f t="shared" si="349"/>
        <v/>
      </c>
      <c r="I566" s="30" t="str">
        <f t="shared" si="350"/>
        <v/>
      </c>
      <c r="J566" s="110"/>
    </row>
    <row r="567" spans="1:16">
      <c r="A567" s="23" t="str">
        <f t="shared" si="299"/>
        <v>Q4 Shop 2</v>
      </c>
      <c r="B567" s="36" t="str">
        <f t="shared" ref="B567:C567" si="353">B566</f>
        <v>Q4</v>
      </c>
      <c r="C567" s="33">
        <f t="shared" si="353"/>
        <v>2</v>
      </c>
      <c r="D567" t="str">
        <f t="shared" si="277"/>
        <v/>
      </c>
      <c r="E567" t="str">
        <f>IF($J567="","",IFERROR(VLOOKUP($J567,KEY!$D$6:$F$76,3,FALSE),""))</f>
        <v/>
      </c>
      <c r="F567" t="str">
        <f>IF($J567="","",IFERROR(VLOOKUP($J567,KEY!$D$6:$F$76,2,FALSE),""))</f>
        <v/>
      </c>
      <c r="G567" t="str">
        <f t="shared" si="301"/>
        <v/>
      </c>
      <c r="H567" s="30" t="str">
        <f t="shared" si="349"/>
        <v/>
      </c>
      <c r="I567" s="30" t="str">
        <f t="shared" si="350"/>
        <v/>
      </c>
      <c r="J567" s="110"/>
    </row>
    <row r="568" spans="1:16">
      <c r="A568" s="23" t="str">
        <f t="shared" si="276"/>
        <v>Q4 Shop 2</v>
      </c>
      <c r="B568" s="36" t="str">
        <f t="shared" ref="B568:C568" si="354">B567</f>
        <v>Q4</v>
      </c>
      <c r="C568" s="33">
        <f t="shared" si="354"/>
        <v>2</v>
      </c>
      <c r="D568" t="str">
        <f t="shared" si="277"/>
        <v/>
      </c>
      <c r="E568" t="str">
        <f>IF($J568="","",IFERROR(VLOOKUP($J568,KEY!$D$6:$F$76,3,FALSE),""))</f>
        <v/>
      </c>
      <c r="F568" t="str">
        <f>IF($J568="","",IFERROR(VLOOKUP($J568,KEY!$D$6:$F$76,2,FALSE),""))</f>
        <v/>
      </c>
      <c r="G568" t="str">
        <f t="shared" si="278"/>
        <v/>
      </c>
      <c r="H568" s="30" t="str">
        <f t="shared" si="349"/>
        <v/>
      </c>
      <c r="I568" s="30" t="str">
        <f t="shared" si="350"/>
        <v/>
      </c>
      <c r="J568" s="110"/>
    </row>
    <row r="569" spans="1:16">
      <c r="A569" s="23" t="str">
        <f t="shared" si="276"/>
        <v>Q4 Shop 2</v>
      </c>
      <c r="B569" s="36" t="str">
        <f t="shared" ref="B569:C569" si="355">B568</f>
        <v>Q4</v>
      </c>
      <c r="C569" s="33">
        <f t="shared" si="355"/>
        <v>2</v>
      </c>
      <c r="D569" t="str">
        <f t="shared" si="277"/>
        <v/>
      </c>
      <c r="E569" t="str">
        <f>IF($J569="","",IFERROR(VLOOKUP($J569,KEY!$D$6:$F$76,3,FALSE),""))</f>
        <v/>
      </c>
      <c r="F569" t="str">
        <f>IF($J569="","",IFERROR(VLOOKUP($J569,KEY!$D$6:$F$76,2,FALSE),""))</f>
        <v/>
      </c>
      <c r="G569" t="str">
        <f t="shared" si="278"/>
        <v/>
      </c>
      <c r="H569" s="30" t="str">
        <f t="shared" si="349"/>
        <v/>
      </c>
      <c r="I569" s="30" t="str">
        <f t="shared" si="350"/>
        <v/>
      </c>
      <c r="J569" s="110"/>
    </row>
    <row r="570" spans="1:16">
      <c r="G570" t="str">
        <f t="shared" ref="G570:G580" si="356">A570&amp;"_"&amp;D570</f>
        <v>_</v>
      </c>
    </row>
    <row r="571" spans="1:16">
      <c r="G571" t="str">
        <f t="shared" si="356"/>
        <v>_</v>
      </c>
    </row>
    <row r="572" spans="1:16">
      <c r="G572" t="str">
        <f t="shared" si="356"/>
        <v>_</v>
      </c>
    </row>
    <row r="573" spans="1:16">
      <c r="G573" t="str">
        <f t="shared" si="356"/>
        <v>_</v>
      </c>
    </row>
    <row r="574" spans="1:16">
      <c r="G574" t="str">
        <f t="shared" si="356"/>
        <v>_</v>
      </c>
    </row>
    <row r="575" spans="1:16">
      <c r="G575" t="str">
        <f t="shared" si="356"/>
        <v>_</v>
      </c>
    </row>
    <row r="576" spans="1:16">
      <c r="G576" t="str">
        <f t="shared" si="356"/>
        <v>_</v>
      </c>
    </row>
    <row r="577" spans="7:7">
      <c r="G577" t="str">
        <f t="shared" si="356"/>
        <v>_</v>
      </c>
    </row>
    <row r="578" spans="7:7">
      <c r="G578" t="str">
        <f t="shared" si="356"/>
        <v>_</v>
      </c>
    </row>
    <row r="579" spans="7:7">
      <c r="G579" t="str">
        <f t="shared" si="356"/>
        <v>_</v>
      </c>
    </row>
    <row r="580" spans="7:7">
      <c r="G580" t="str">
        <f t="shared" si="356"/>
        <v>_</v>
      </c>
    </row>
    <row r="581" spans="7:7">
      <c r="G581" t="str">
        <f t="shared" ref="G581:G644" si="357">A581&amp;"_"&amp;D581</f>
        <v>_</v>
      </c>
    </row>
    <row r="582" spans="7:7">
      <c r="G582" t="str">
        <f t="shared" si="357"/>
        <v>_</v>
      </c>
    </row>
    <row r="583" spans="7:7">
      <c r="G583" t="str">
        <f t="shared" si="357"/>
        <v>_</v>
      </c>
    </row>
    <row r="584" spans="7:7">
      <c r="G584" t="str">
        <f t="shared" si="357"/>
        <v>_</v>
      </c>
    </row>
    <row r="585" spans="7:7">
      <c r="G585" t="str">
        <f t="shared" si="357"/>
        <v>_</v>
      </c>
    </row>
    <row r="586" spans="7:7">
      <c r="G586" t="str">
        <f t="shared" si="357"/>
        <v>_</v>
      </c>
    </row>
    <row r="587" spans="7:7">
      <c r="G587" t="str">
        <f t="shared" si="357"/>
        <v>_</v>
      </c>
    </row>
    <row r="588" spans="7:7">
      <c r="G588" t="str">
        <f t="shared" si="357"/>
        <v>_</v>
      </c>
    </row>
    <row r="589" spans="7:7">
      <c r="G589" t="str">
        <f t="shared" si="357"/>
        <v>_</v>
      </c>
    </row>
    <row r="590" spans="7:7">
      <c r="G590" t="str">
        <f t="shared" si="357"/>
        <v>_</v>
      </c>
    </row>
    <row r="591" spans="7:7">
      <c r="G591" t="str">
        <f t="shared" si="357"/>
        <v>_</v>
      </c>
    </row>
    <row r="592" spans="7:7">
      <c r="G592" t="str">
        <f t="shared" si="357"/>
        <v>_</v>
      </c>
    </row>
    <row r="593" spans="7:7">
      <c r="G593" t="str">
        <f t="shared" si="357"/>
        <v>_</v>
      </c>
    </row>
    <row r="594" spans="7:7">
      <c r="G594" t="str">
        <f t="shared" si="357"/>
        <v>_</v>
      </c>
    </row>
    <row r="595" spans="7:7">
      <c r="G595" t="str">
        <f t="shared" si="357"/>
        <v>_</v>
      </c>
    </row>
    <row r="596" spans="7:7">
      <c r="G596" t="str">
        <f t="shared" si="357"/>
        <v>_</v>
      </c>
    </row>
    <row r="597" spans="7:7">
      <c r="G597" t="str">
        <f t="shared" si="357"/>
        <v>_</v>
      </c>
    </row>
    <row r="598" spans="7:7">
      <c r="G598" t="str">
        <f t="shared" si="357"/>
        <v>_</v>
      </c>
    </row>
    <row r="599" spans="7:7">
      <c r="G599" t="str">
        <f t="shared" si="357"/>
        <v>_</v>
      </c>
    </row>
    <row r="600" spans="7:7">
      <c r="G600" t="str">
        <f t="shared" si="357"/>
        <v>_</v>
      </c>
    </row>
    <row r="601" spans="7:7">
      <c r="G601" t="str">
        <f t="shared" si="357"/>
        <v>_</v>
      </c>
    </row>
    <row r="602" spans="7:7">
      <c r="G602" t="str">
        <f t="shared" si="357"/>
        <v>_</v>
      </c>
    </row>
    <row r="603" spans="7:7">
      <c r="G603" t="str">
        <f t="shared" si="357"/>
        <v>_</v>
      </c>
    </row>
    <row r="604" spans="7:7">
      <c r="G604" t="str">
        <f t="shared" si="357"/>
        <v>_</v>
      </c>
    </row>
    <row r="605" spans="7:7">
      <c r="G605" t="str">
        <f t="shared" si="357"/>
        <v>_</v>
      </c>
    </row>
    <row r="606" spans="7:7">
      <c r="G606" t="str">
        <f t="shared" si="357"/>
        <v>_</v>
      </c>
    </row>
    <row r="607" spans="7:7">
      <c r="G607" t="str">
        <f t="shared" si="357"/>
        <v>_</v>
      </c>
    </row>
    <row r="608" spans="7:7">
      <c r="G608" t="str">
        <f t="shared" si="357"/>
        <v>_</v>
      </c>
    </row>
    <row r="609" spans="7:7">
      <c r="G609" t="str">
        <f t="shared" si="357"/>
        <v>_</v>
      </c>
    </row>
    <row r="610" spans="7:7">
      <c r="G610" t="str">
        <f t="shared" si="357"/>
        <v>_</v>
      </c>
    </row>
    <row r="611" spans="7:7">
      <c r="G611" t="str">
        <f t="shared" si="357"/>
        <v>_</v>
      </c>
    </row>
    <row r="612" spans="7:7">
      <c r="G612" t="str">
        <f t="shared" si="357"/>
        <v>_</v>
      </c>
    </row>
    <row r="613" spans="7:7">
      <c r="G613" t="str">
        <f t="shared" si="357"/>
        <v>_</v>
      </c>
    </row>
    <row r="614" spans="7:7">
      <c r="G614" t="str">
        <f t="shared" si="357"/>
        <v>_</v>
      </c>
    </row>
    <row r="615" spans="7:7">
      <c r="G615" t="str">
        <f t="shared" si="357"/>
        <v>_</v>
      </c>
    </row>
    <row r="616" spans="7:7">
      <c r="G616" t="str">
        <f t="shared" si="357"/>
        <v>_</v>
      </c>
    </row>
    <row r="617" spans="7:7">
      <c r="G617" t="str">
        <f t="shared" si="357"/>
        <v>_</v>
      </c>
    </row>
    <row r="618" spans="7:7">
      <c r="G618" t="str">
        <f t="shared" si="357"/>
        <v>_</v>
      </c>
    </row>
    <row r="619" spans="7:7">
      <c r="G619" t="str">
        <f t="shared" si="357"/>
        <v>_</v>
      </c>
    </row>
    <row r="620" spans="7:7">
      <c r="G620" t="str">
        <f t="shared" si="357"/>
        <v>_</v>
      </c>
    </row>
    <row r="621" spans="7:7">
      <c r="G621" t="str">
        <f t="shared" si="357"/>
        <v>_</v>
      </c>
    </row>
    <row r="622" spans="7:7">
      <c r="G622" t="str">
        <f t="shared" si="357"/>
        <v>_</v>
      </c>
    </row>
    <row r="623" spans="7:7">
      <c r="G623" t="str">
        <f t="shared" si="357"/>
        <v>_</v>
      </c>
    </row>
    <row r="624" spans="7:7">
      <c r="G624" t="str">
        <f t="shared" si="357"/>
        <v>_</v>
      </c>
    </row>
    <row r="625" spans="7:7">
      <c r="G625" t="str">
        <f t="shared" si="357"/>
        <v>_</v>
      </c>
    </row>
    <row r="626" spans="7:7">
      <c r="G626" t="str">
        <f t="shared" si="357"/>
        <v>_</v>
      </c>
    </row>
    <row r="627" spans="7:7">
      <c r="G627" t="str">
        <f t="shared" si="357"/>
        <v>_</v>
      </c>
    </row>
    <row r="628" spans="7:7">
      <c r="G628" t="str">
        <f t="shared" si="357"/>
        <v>_</v>
      </c>
    </row>
    <row r="629" spans="7:7">
      <c r="G629" t="str">
        <f t="shared" si="357"/>
        <v>_</v>
      </c>
    </row>
    <row r="630" spans="7:7">
      <c r="G630" t="str">
        <f t="shared" si="357"/>
        <v>_</v>
      </c>
    </row>
    <row r="631" spans="7:7">
      <c r="G631" t="str">
        <f t="shared" si="357"/>
        <v>_</v>
      </c>
    </row>
    <row r="632" spans="7:7">
      <c r="G632" t="str">
        <f t="shared" si="357"/>
        <v>_</v>
      </c>
    </row>
    <row r="633" spans="7:7">
      <c r="G633" t="str">
        <f t="shared" si="357"/>
        <v>_</v>
      </c>
    </row>
    <row r="634" spans="7:7">
      <c r="G634" t="str">
        <f t="shared" si="357"/>
        <v>_</v>
      </c>
    </row>
    <row r="635" spans="7:7">
      <c r="G635" t="str">
        <f t="shared" si="357"/>
        <v>_</v>
      </c>
    </row>
    <row r="636" spans="7:7">
      <c r="G636" t="str">
        <f t="shared" si="357"/>
        <v>_</v>
      </c>
    </row>
    <row r="637" spans="7:7">
      <c r="G637" t="str">
        <f t="shared" si="357"/>
        <v>_</v>
      </c>
    </row>
    <row r="638" spans="7:7">
      <c r="G638" t="str">
        <f t="shared" si="357"/>
        <v>_</v>
      </c>
    </row>
    <row r="639" spans="7:7">
      <c r="G639" t="str">
        <f t="shared" si="357"/>
        <v>_</v>
      </c>
    </row>
    <row r="640" spans="7:7">
      <c r="G640" t="str">
        <f t="shared" si="357"/>
        <v>_</v>
      </c>
    </row>
    <row r="641" spans="7:7">
      <c r="G641" t="str">
        <f t="shared" si="357"/>
        <v>_</v>
      </c>
    </row>
    <row r="642" spans="7:7">
      <c r="G642" t="str">
        <f t="shared" si="357"/>
        <v>_</v>
      </c>
    </row>
    <row r="643" spans="7:7">
      <c r="G643" t="str">
        <f t="shared" si="357"/>
        <v>_</v>
      </c>
    </row>
    <row r="644" spans="7:7">
      <c r="G644" t="str">
        <f t="shared" si="357"/>
        <v>_</v>
      </c>
    </row>
    <row r="645" spans="7:7">
      <c r="G645" t="str">
        <f t="shared" ref="G645:G708" si="358">A645&amp;"_"&amp;D645</f>
        <v>_</v>
      </c>
    </row>
    <row r="646" spans="7:7">
      <c r="G646" t="str">
        <f t="shared" si="358"/>
        <v>_</v>
      </c>
    </row>
    <row r="647" spans="7:7">
      <c r="G647" t="str">
        <f t="shared" si="358"/>
        <v>_</v>
      </c>
    </row>
    <row r="648" spans="7:7">
      <c r="G648" t="str">
        <f t="shared" si="358"/>
        <v>_</v>
      </c>
    </row>
    <row r="649" spans="7:7">
      <c r="G649" t="str">
        <f t="shared" si="358"/>
        <v>_</v>
      </c>
    </row>
    <row r="650" spans="7:7">
      <c r="G650" t="str">
        <f t="shared" si="358"/>
        <v>_</v>
      </c>
    </row>
    <row r="651" spans="7:7">
      <c r="G651" t="str">
        <f t="shared" si="358"/>
        <v>_</v>
      </c>
    </row>
    <row r="652" spans="7:7">
      <c r="G652" t="str">
        <f t="shared" si="358"/>
        <v>_</v>
      </c>
    </row>
    <row r="653" spans="7:7">
      <c r="G653" t="str">
        <f t="shared" si="358"/>
        <v>_</v>
      </c>
    </row>
    <row r="654" spans="7:7">
      <c r="G654" t="str">
        <f t="shared" si="358"/>
        <v>_</v>
      </c>
    </row>
    <row r="655" spans="7:7">
      <c r="G655" t="str">
        <f t="shared" si="358"/>
        <v>_</v>
      </c>
    </row>
    <row r="656" spans="7:7">
      <c r="G656" t="str">
        <f t="shared" si="358"/>
        <v>_</v>
      </c>
    </row>
    <row r="657" spans="7:7">
      <c r="G657" t="str">
        <f t="shared" si="358"/>
        <v>_</v>
      </c>
    </row>
    <row r="658" spans="7:7">
      <c r="G658" t="str">
        <f t="shared" si="358"/>
        <v>_</v>
      </c>
    </row>
    <row r="659" spans="7:7">
      <c r="G659" t="str">
        <f t="shared" si="358"/>
        <v>_</v>
      </c>
    </row>
    <row r="660" spans="7:7">
      <c r="G660" t="str">
        <f t="shared" si="358"/>
        <v>_</v>
      </c>
    </row>
    <row r="661" spans="7:7">
      <c r="G661" t="str">
        <f t="shared" si="358"/>
        <v>_</v>
      </c>
    </row>
    <row r="662" spans="7:7">
      <c r="G662" t="str">
        <f t="shared" si="358"/>
        <v>_</v>
      </c>
    </row>
    <row r="663" spans="7:7">
      <c r="G663" t="str">
        <f t="shared" si="358"/>
        <v>_</v>
      </c>
    </row>
    <row r="664" spans="7:7">
      <c r="G664" t="str">
        <f t="shared" si="358"/>
        <v>_</v>
      </c>
    </row>
    <row r="665" spans="7:7">
      <c r="G665" t="str">
        <f t="shared" si="358"/>
        <v>_</v>
      </c>
    </row>
    <row r="666" spans="7:7">
      <c r="G666" t="str">
        <f t="shared" si="358"/>
        <v>_</v>
      </c>
    </row>
    <row r="667" spans="7:7">
      <c r="G667" t="str">
        <f t="shared" si="358"/>
        <v>_</v>
      </c>
    </row>
    <row r="668" spans="7:7">
      <c r="G668" t="str">
        <f t="shared" si="358"/>
        <v>_</v>
      </c>
    </row>
    <row r="669" spans="7:7">
      <c r="G669" t="str">
        <f t="shared" si="358"/>
        <v>_</v>
      </c>
    </row>
    <row r="670" spans="7:7">
      <c r="G670" t="str">
        <f t="shared" si="358"/>
        <v>_</v>
      </c>
    </row>
    <row r="671" spans="7:7">
      <c r="G671" t="str">
        <f t="shared" si="358"/>
        <v>_</v>
      </c>
    </row>
    <row r="672" spans="7:7">
      <c r="G672" t="str">
        <f t="shared" si="358"/>
        <v>_</v>
      </c>
    </row>
    <row r="673" spans="7:7">
      <c r="G673" t="str">
        <f t="shared" si="358"/>
        <v>_</v>
      </c>
    </row>
    <row r="674" spans="7:7">
      <c r="G674" t="str">
        <f t="shared" si="358"/>
        <v>_</v>
      </c>
    </row>
    <row r="675" spans="7:7">
      <c r="G675" t="str">
        <f t="shared" si="358"/>
        <v>_</v>
      </c>
    </row>
    <row r="676" spans="7:7">
      <c r="G676" t="str">
        <f t="shared" si="358"/>
        <v>_</v>
      </c>
    </row>
    <row r="677" spans="7:7">
      <c r="G677" t="str">
        <f t="shared" si="358"/>
        <v>_</v>
      </c>
    </row>
    <row r="678" spans="7:7">
      <c r="G678" t="str">
        <f t="shared" si="358"/>
        <v>_</v>
      </c>
    </row>
    <row r="679" spans="7:7">
      <c r="G679" t="str">
        <f t="shared" si="358"/>
        <v>_</v>
      </c>
    </row>
    <row r="680" spans="7:7">
      <c r="G680" t="str">
        <f t="shared" si="358"/>
        <v>_</v>
      </c>
    </row>
    <row r="681" spans="7:7">
      <c r="G681" t="str">
        <f t="shared" si="358"/>
        <v>_</v>
      </c>
    </row>
    <row r="682" spans="7:7">
      <c r="G682" t="str">
        <f t="shared" si="358"/>
        <v>_</v>
      </c>
    </row>
    <row r="683" spans="7:7">
      <c r="G683" t="str">
        <f t="shared" si="358"/>
        <v>_</v>
      </c>
    </row>
    <row r="684" spans="7:7">
      <c r="G684" t="str">
        <f t="shared" si="358"/>
        <v>_</v>
      </c>
    </row>
    <row r="685" spans="7:7">
      <c r="G685" t="str">
        <f t="shared" si="358"/>
        <v>_</v>
      </c>
    </row>
    <row r="686" spans="7:7">
      <c r="G686" t="str">
        <f t="shared" si="358"/>
        <v>_</v>
      </c>
    </row>
    <row r="687" spans="7:7">
      <c r="G687" t="str">
        <f t="shared" si="358"/>
        <v>_</v>
      </c>
    </row>
    <row r="688" spans="7:7">
      <c r="G688" t="str">
        <f t="shared" si="358"/>
        <v>_</v>
      </c>
    </row>
    <row r="689" spans="7:7">
      <c r="G689" t="str">
        <f t="shared" si="358"/>
        <v>_</v>
      </c>
    </row>
    <row r="690" spans="7:7">
      <c r="G690" t="str">
        <f t="shared" si="358"/>
        <v>_</v>
      </c>
    </row>
    <row r="691" spans="7:7">
      <c r="G691" t="str">
        <f t="shared" si="358"/>
        <v>_</v>
      </c>
    </row>
    <row r="692" spans="7:7">
      <c r="G692" t="str">
        <f t="shared" si="358"/>
        <v>_</v>
      </c>
    </row>
    <row r="693" spans="7:7">
      <c r="G693" t="str">
        <f t="shared" si="358"/>
        <v>_</v>
      </c>
    </row>
    <row r="694" spans="7:7">
      <c r="G694" t="str">
        <f t="shared" si="358"/>
        <v>_</v>
      </c>
    </row>
    <row r="695" spans="7:7">
      <c r="G695" t="str">
        <f t="shared" si="358"/>
        <v>_</v>
      </c>
    </row>
    <row r="696" spans="7:7">
      <c r="G696" t="str">
        <f t="shared" si="358"/>
        <v>_</v>
      </c>
    </row>
    <row r="697" spans="7:7">
      <c r="G697" t="str">
        <f t="shared" si="358"/>
        <v>_</v>
      </c>
    </row>
    <row r="698" spans="7:7">
      <c r="G698" t="str">
        <f t="shared" si="358"/>
        <v>_</v>
      </c>
    </row>
    <row r="699" spans="7:7">
      <c r="G699" t="str">
        <f t="shared" si="358"/>
        <v>_</v>
      </c>
    </row>
    <row r="700" spans="7:7">
      <c r="G700" t="str">
        <f t="shared" si="358"/>
        <v>_</v>
      </c>
    </row>
    <row r="701" spans="7:7">
      <c r="G701" t="str">
        <f t="shared" si="358"/>
        <v>_</v>
      </c>
    </row>
    <row r="702" spans="7:7">
      <c r="G702" t="str">
        <f t="shared" si="358"/>
        <v>_</v>
      </c>
    </row>
    <row r="703" spans="7:7">
      <c r="G703" t="str">
        <f t="shared" si="358"/>
        <v>_</v>
      </c>
    </row>
    <row r="704" spans="7:7">
      <c r="G704" t="str">
        <f t="shared" si="358"/>
        <v>_</v>
      </c>
    </row>
    <row r="705" spans="7:7">
      <c r="G705" t="str">
        <f t="shared" si="358"/>
        <v>_</v>
      </c>
    </row>
    <row r="706" spans="7:7">
      <c r="G706" t="str">
        <f t="shared" si="358"/>
        <v>_</v>
      </c>
    </row>
    <row r="707" spans="7:7">
      <c r="G707" t="str">
        <f t="shared" si="358"/>
        <v>_</v>
      </c>
    </row>
    <row r="708" spans="7:7">
      <c r="G708" t="str">
        <f t="shared" si="358"/>
        <v>_</v>
      </c>
    </row>
    <row r="709" spans="7:7">
      <c r="G709" t="str">
        <f t="shared" ref="G709:G772" si="359">A709&amp;"_"&amp;D709</f>
        <v>_</v>
      </c>
    </row>
    <row r="710" spans="7:7">
      <c r="G710" t="str">
        <f t="shared" si="359"/>
        <v>_</v>
      </c>
    </row>
    <row r="711" spans="7:7">
      <c r="G711" t="str">
        <f t="shared" si="359"/>
        <v>_</v>
      </c>
    </row>
    <row r="712" spans="7:7">
      <c r="G712" t="str">
        <f t="shared" si="359"/>
        <v>_</v>
      </c>
    </row>
    <row r="713" spans="7:7">
      <c r="G713" t="str">
        <f t="shared" si="359"/>
        <v>_</v>
      </c>
    </row>
    <row r="714" spans="7:7">
      <c r="G714" t="str">
        <f t="shared" si="359"/>
        <v>_</v>
      </c>
    </row>
    <row r="715" spans="7:7">
      <c r="G715" t="str">
        <f t="shared" si="359"/>
        <v>_</v>
      </c>
    </row>
    <row r="716" spans="7:7">
      <c r="G716" t="str">
        <f t="shared" si="359"/>
        <v>_</v>
      </c>
    </row>
    <row r="717" spans="7:7">
      <c r="G717" t="str">
        <f t="shared" si="359"/>
        <v>_</v>
      </c>
    </row>
    <row r="718" spans="7:7">
      <c r="G718" t="str">
        <f t="shared" si="359"/>
        <v>_</v>
      </c>
    </row>
    <row r="719" spans="7:7">
      <c r="G719" t="str">
        <f t="shared" si="359"/>
        <v>_</v>
      </c>
    </row>
    <row r="720" spans="7:7">
      <c r="G720" t="str">
        <f t="shared" si="359"/>
        <v>_</v>
      </c>
    </row>
    <row r="721" spans="7:7">
      <c r="G721" t="str">
        <f t="shared" si="359"/>
        <v>_</v>
      </c>
    </row>
    <row r="722" spans="7:7">
      <c r="G722" t="str">
        <f t="shared" si="359"/>
        <v>_</v>
      </c>
    </row>
    <row r="723" spans="7:7">
      <c r="G723" t="str">
        <f t="shared" si="359"/>
        <v>_</v>
      </c>
    </row>
    <row r="724" spans="7:7">
      <c r="G724" t="str">
        <f t="shared" si="359"/>
        <v>_</v>
      </c>
    </row>
    <row r="725" spans="7:7">
      <c r="G725" t="str">
        <f t="shared" si="359"/>
        <v>_</v>
      </c>
    </row>
    <row r="726" spans="7:7">
      <c r="G726" t="str">
        <f t="shared" si="359"/>
        <v>_</v>
      </c>
    </row>
    <row r="727" spans="7:7">
      <c r="G727" t="str">
        <f t="shared" si="359"/>
        <v>_</v>
      </c>
    </row>
    <row r="728" spans="7:7">
      <c r="G728" t="str">
        <f t="shared" si="359"/>
        <v>_</v>
      </c>
    </row>
    <row r="729" spans="7:7">
      <c r="G729" t="str">
        <f t="shared" si="359"/>
        <v>_</v>
      </c>
    </row>
    <row r="730" spans="7:7">
      <c r="G730" t="str">
        <f t="shared" si="359"/>
        <v>_</v>
      </c>
    </row>
    <row r="731" spans="7:7">
      <c r="G731" t="str">
        <f t="shared" si="359"/>
        <v>_</v>
      </c>
    </row>
    <row r="732" spans="7:7">
      <c r="G732" t="str">
        <f t="shared" si="359"/>
        <v>_</v>
      </c>
    </row>
    <row r="733" spans="7:7">
      <c r="G733" t="str">
        <f t="shared" si="359"/>
        <v>_</v>
      </c>
    </row>
    <row r="734" spans="7:7">
      <c r="G734" t="str">
        <f t="shared" si="359"/>
        <v>_</v>
      </c>
    </row>
    <row r="735" spans="7:7">
      <c r="G735" t="str">
        <f t="shared" si="359"/>
        <v>_</v>
      </c>
    </row>
    <row r="736" spans="7:7">
      <c r="G736" t="str">
        <f t="shared" si="359"/>
        <v>_</v>
      </c>
    </row>
    <row r="737" spans="7:7">
      <c r="G737" t="str">
        <f t="shared" si="359"/>
        <v>_</v>
      </c>
    </row>
    <row r="738" spans="7:7">
      <c r="G738" t="str">
        <f t="shared" si="359"/>
        <v>_</v>
      </c>
    </row>
    <row r="739" spans="7:7">
      <c r="G739" t="str">
        <f t="shared" si="359"/>
        <v>_</v>
      </c>
    </row>
    <row r="740" spans="7:7">
      <c r="G740" t="str">
        <f t="shared" si="359"/>
        <v>_</v>
      </c>
    </row>
    <row r="741" spans="7:7">
      <c r="G741" t="str">
        <f t="shared" si="359"/>
        <v>_</v>
      </c>
    </row>
    <row r="742" spans="7:7">
      <c r="G742" t="str">
        <f t="shared" si="359"/>
        <v>_</v>
      </c>
    </row>
    <row r="743" spans="7:7">
      <c r="G743" t="str">
        <f t="shared" si="359"/>
        <v>_</v>
      </c>
    </row>
    <row r="744" spans="7:7">
      <c r="G744" t="str">
        <f t="shared" si="359"/>
        <v>_</v>
      </c>
    </row>
    <row r="745" spans="7:7">
      <c r="G745" t="str">
        <f t="shared" si="359"/>
        <v>_</v>
      </c>
    </row>
    <row r="746" spans="7:7">
      <c r="G746" t="str">
        <f t="shared" si="359"/>
        <v>_</v>
      </c>
    </row>
    <row r="747" spans="7:7">
      <c r="G747" t="str">
        <f t="shared" si="359"/>
        <v>_</v>
      </c>
    </row>
    <row r="748" spans="7:7">
      <c r="G748" t="str">
        <f t="shared" si="359"/>
        <v>_</v>
      </c>
    </row>
    <row r="749" spans="7:7">
      <c r="G749" t="str">
        <f t="shared" si="359"/>
        <v>_</v>
      </c>
    </row>
    <row r="750" spans="7:7">
      <c r="G750" t="str">
        <f t="shared" si="359"/>
        <v>_</v>
      </c>
    </row>
    <row r="751" spans="7:7">
      <c r="G751" t="str">
        <f t="shared" si="359"/>
        <v>_</v>
      </c>
    </row>
    <row r="752" spans="7:7">
      <c r="G752" t="str">
        <f t="shared" si="359"/>
        <v>_</v>
      </c>
    </row>
    <row r="753" spans="7:7">
      <c r="G753" t="str">
        <f t="shared" si="359"/>
        <v>_</v>
      </c>
    </row>
    <row r="754" spans="7:7">
      <c r="G754" t="str">
        <f t="shared" si="359"/>
        <v>_</v>
      </c>
    </row>
    <row r="755" spans="7:7">
      <c r="G755" t="str">
        <f t="shared" si="359"/>
        <v>_</v>
      </c>
    </row>
    <row r="756" spans="7:7">
      <c r="G756" t="str">
        <f t="shared" si="359"/>
        <v>_</v>
      </c>
    </row>
    <row r="757" spans="7:7">
      <c r="G757" t="str">
        <f t="shared" si="359"/>
        <v>_</v>
      </c>
    </row>
    <row r="758" spans="7:7">
      <c r="G758" t="str">
        <f t="shared" si="359"/>
        <v>_</v>
      </c>
    </row>
    <row r="759" spans="7:7">
      <c r="G759" t="str">
        <f t="shared" si="359"/>
        <v>_</v>
      </c>
    </row>
    <row r="760" spans="7:7">
      <c r="G760" t="str">
        <f t="shared" si="359"/>
        <v>_</v>
      </c>
    </row>
    <row r="761" spans="7:7">
      <c r="G761" t="str">
        <f t="shared" si="359"/>
        <v>_</v>
      </c>
    </row>
    <row r="762" spans="7:7">
      <c r="G762" t="str">
        <f t="shared" si="359"/>
        <v>_</v>
      </c>
    </row>
    <row r="763" spans="7:7">
      <c r="G763" t="str">
        <f t="shared" si="359"/>
        <v>_</v>
      </c>
    </row>
    <row r="764" spans="7:7">
      <c r="G764" t="str">
        <f t="shared" si="359"/>
        <v>_</v>
      </c>
    </row>
    <row r="765" spans="7:7">
      <c r="G765" t="str">
        <f t="shared" si="359"/>
        <v>_</v>
      </c>
    </row>
    <row r="766" spans="7:7">
      <c r="G766" t="str">
        <f t="shared" si="359"/>
        <v>_</v>
      </c>
    </row>
    <row r="767" spans="7:7">
      <c r="G767" t="str">
        <f t="shared" si="359"/>
        <v>_</v>
      </c>
    </row>
    <row r="768" spans="7:7">
      <c r="G768" t="str">
        <f t="shared" si="359"/>
        <v>_</v>
      </c>
    </row>
    <row r="769" spans="7:7">
      <c r="G769" t="str">
        <f t="shared" si="359"/>
        <v>_</v>
      </c>
    </row>
    <row r="770" spans="7:7">
      <c r="G770" t="str">
        <f t="shared" si="359"/>
        <v>_</v>
      </c>
    </row>
    <row r="771" spans="7:7">
      <c r="G771" t="str">
        <f t="shared" si="359"/>
        <v>_</v>
      </c>
    </row>
    <row r="772" spans="7:7">
      <c r="G772" t="str">
        <f t="shared" si="359"/>
        <v>_</v>
      </c>
    </row>
    <row r="773" spans="7:7">
      <c r="G773" t="str">
        <f t="shared" ref="G773:G836" si="360">A773&amp;"_"&amp;D773</f>
        <v>_</v>
      </c>
    </row>
    <row r="774" spans="7:7">
      <c r="G774" t="str">
        <f t="shared" si="360"/>
        <v>_</v>
      </c>
    </row>
    <row r="775" spans="7:7">
      <c r="G775" t="str">
        <f t="shared" si="360"/>
        <v>_</v>
      </c>
    </row>
    <row r="776" spans="7:7">
      <c r="G776" t="str">
        <f t="shared" si="360"/>
        <v>_</v>
      </c>
    </row>
    <row r="777" spans="7:7">
      <c r="G777" t="str">
        <f t="shared" si="360"/>
        <v>_</v>
      </c>
    </row>
    <row r="778" spans="7:7">
      <c r="G778" t="str">
        <f t="shared" si="360"/>
        <v>_</v>
      </c>
    </row>
    <row r="779" spans="7:7">
      <c r="G779" t="str">
        <f t="shared" si="360"/>
        <v>_</v>
      </c>
    </row>
    <row r="780" spans="7:7">
      <c r="G780" t="str">
        <f t="shared" si="360"/>
        <v>_</v>
      </c>
    </row>
    <row r="781" spans="7:7">
      <c r="G781" t="str">
        <f t="shared" si="360"/>
        <v>_</v>
      </c>
    </row>
    <row r="782" spans="7:7">
      <c r="G782" t="str">
        <f t="shared" si="360"/>
        <v>_</v>
      </c>
    </row>
    <row r="783" spans="7:7">
      <c r="G783" t="str">
        <f t="shared" si="360"/>
        <v>_</v>
      </c>
    </row>
    <row r="784" spans="7:7">
      <c r="G784" t="str">
        <f t="shared" si="360"/>
        <v>_</v>
      </c>
    </row>
    <row r="785" spans="7:7">
      <c r="G785" t="str">
        <f t="shared" si="360"/>
        <v>_</v>
      </c>
    </row>
    <row r="786" spans="7:7">
      <c r="G786" t="str">
        <f t="shared" si="360"/>
        <v>_</v>
      </c>
    </row>
    <row r="787" spans="7:7">
      <c r="G787" t="str">
        <f t="shared" si="360"/>
        <v>_</v>
      </c>
    </row>
    <row r="788" spans="7:7">
      <c r="G788" t="str">
        <f t="shared" si="360"/>
        <v>_</v>
      </c>
    </row>
    <row r="789" spans="7:7">
      <c r="G789" t="str">
        <f t="shared" si="360"/>
        <v>_</v>
      </c>
    </row>
    <row r="790" spans="7:7">
      <c r="G790" t="str">
        <f t="shared" si="360"/>
        <v>_</v>
      </c>
    </row>
    <row r="791" spans="7:7">
      <c r="G791" t="str">
        <f t="shared" si="360"/>
        <v>_</v>
      </c>
    </row>
    <row r="792" spans="7:7">
      <c r="G792" t="str">
        <f t="shared" si="360"/>
        <v>_</v>
      </c>
    </row>
    <row r="793" spans="7:7">
      <c r="G793" t="str">
        <f t="shared" si="360"/>
        <v>_</v>
      </c>
    </row>
    <row r="794" spans="7:7">
      <c r="G794" t="str">
        <f t="shared" si="360"/>
        <v>_</v>
      </c>
    </row>
    <row r="795" spans="7:7">
      <c r="G795" t="str">
        <f t="shared" si="360"/>
        <v>_</v>
      </c>
    </row>
    <row r="796" spans="7:7">
      <c r="G796" t="str">
        <f t="shared" si="360"/>
        <v>_</v>
      </c>
    </row>
    <row r="797" spans="7:7">
      <c r="G797" t="str">
        <f t="shared" si="360"/>
        <v>_</v>
      </c>
    </row>
    <row r="798" spans="7:7">
      <c r="G798" t="str">
        <f t="shared" si="360"/>
        <v>_</v>
      </c>
    </row>
    <row r="799" spans="7:7">
      <c r="G799" t="str">
        <f t="shared" si="360"/>
        <v>_</v>
      </c>
    </row>
    <row r="800" spans="7:7">
      <c r="G800" t="str">
        <f t="shared" si="360"/>
        <v>_</v>
      </c>
    </row>
    <row r="801" spans="7:7">
      <c r="G801" t="str">
        <f t="shared" si="360"/>
        <v>_</v>
      </c>
    </row>
    <row r="802" spans="7:7">
      <c r="G802" t="str">
        <f t="shared" si="360"/>
        <v>_</v>
      </c>
    </row>
    <row r="803" spans="7:7">
      <c r="G803" t="str">
        <f t="shared" si="360"/>
        <v>_</v>
      </c>
    </row>
    <row r="804" spans="7:7">
      <c r="G804" t="str">
        <f t="shared" si="360"/>
        <v>_</v>
      </c>
    </row>
    <row r="805" spans="7:7">
      <c r="G805" t="str">
        <f t="shared" si="360"/>
        <v>_</v>
      </c>
    </row>
    <row r="806" spans="7:7">
      <c r="G806" t="str">
        <f t="shared" si="360"/>
        <v>_</v>
      </c>
    </row>
    <row r="807" spans="7:7">
      <c r="G807" t="str">
        <f t="shared" si="360"/>
        <v>_</v>
      </c>
    </row>
    <row r="808" spans="7:7">
      <c r="G808" t="str">
        <f t="shared" si="360"/>
        <v>_</v>
      </c>
    </row>
    <row r="809" spans="7:7">
      <c r="G809" t="str">
        <f t="shared" si="360"/>
        <v>_</v>
      </c>
    </row>
    <row r="810" spans="7:7">
      <c r="G810" t="str">
        <f t="shared" si="360"/>
        <v>_</v>
      </c>
    </row>
    <row r="811" spans="7:7">
      <c r="G811" t="str">
        <f t="shared" si="360"/>
        <v>_</v>
      </c>
    </row>
    <row r="812" spans="7:7">
      <c r="G812" t="str">
        <f t="shared" si="360"/>
        <v>_</v>
      </c>
    </row>
    <row r="813" spans="7:7">
      <c r="G813" t="str">
        <f t="shared" si="360"/>
        <v>_</v>
      </c>
    </row>
    <row r="814" spans="7:7">
      <c r="G814" t="str">
        <f t="shared" si="360"/>
        <v>_</v>
      </c>
    </row>
    <row r="815" spans="7:7">
      <c r="G815" t="str">
        <f t="shared" si="360"/>
        <v>_</v>
      </c>
    </row>
    <row r="816" spans="7:7">
      <c r="G816" t="str">
        <f t="shared" si="360"/>
        <v>_</v>
      </c>
    </row>
    <row r="817" spans="7:7">
      <c r="G817" t="str">
        <f t="shared" si="360"/>
        <v>_</v>
      </c>
    </row>
    <row r="818" spans="7:7">
      <c r="G818" t="str">
        <f t="shared" si="360"/>
        <v>_</v>
      </c>
    </row>
    <row r="819" spans="7:7">
      <c r="G819" t="str">
        <f t="shared" si="360"/>
        <v>_</v>
      </c>
    </row>
    <row r="820" spans="7:7">
      <c r="G820" t="str">
        <f t="shared" si="360"/>
        <v>_</v>
      </c>
    </row>
    <row r="821" spans="7:7">
      <c r="G821" t="str">
        <f t="shared" si="360"/>
        <v>_</v>
      </c>
    </row>
    <row r="822" spans="7:7">
      <c r="G822" t="str">
        <f t="shared" si="360"/>
        <v>_</v>
      </c>
    </row>
    <row r="823" spans="7:7">
      <c r="G823" t="str">
        <f t="shared" si="360"/>
        <v>_</v>
      </c>
    </row>
    <row r="824" spans="7:7">
      <c r="G824" t="str">
        <f t="shared" si="360"/>
        <v>_</v>
      </c>
    </row>
    <row r="825" spans="7:7">
      <c r="G825" t="str">
        <f t="shared" si="360"/>
        <v>_</v>
      </c>
    </row>
    <row r="826" spans="7:7">
      <c r="G826" t="str">
        <f t="shared" si="360"/>
        <v>_</v>
      </c>
    </row>
    <row r="827" spans="7:7">
      <c r="G827" t="str">
        <f t="shared" si="360"/>
        <v>_</v>
      </c>
    </row>
    <row r="828" spans="7:7">
      <c r="G828" t="str">
        <f t="shared" si="360"/>
        <v>_</v>
      </c>
    </row>
    <row r="829" spans="7:7">
      <c r="G829" t="str">
        <f t="shared" si="360"/>
        <v>_</v>
      </c>
    </row>
    <row r="830" spans="7:7">
      <c r="G830" t="str">
        <f t="shared" si="360"/>
        <v>_</v>
      </c>
    </row>
    <row r="831" spans="7:7">
      <c r="G831" t="str">
        <f t="shared" si="360"/>
        <v>_</v>
      </c>
    </row>
    <row r="832" spans="7:7">
      <c r="G832" t="str">
        <f t="shared" si="360"/>
        <v>_</v>
      </c>
    </row>
    <row r="833" spans="7:7">
      <c r="G833" t="str">
        <f t="shared" si="360"/>
        <v>_</v>
      </c>
    </row>
    <row r="834" spans="7:7">
      <c r="G834" t="str">
        <f t="shared" si="360"/>
        <v>_</v>
      </c>
    </row>
    <row r="835" spans="7:7">
      <c r="G835" t="str">
        <f t="shared" si="360"/>
        <v>_</v>
      </c>
    </row>
    <row r="836" spans="7:7">
      <c r="G836" t="str">
        <f t="shared" si="360"/>
        <v>_</v>
      </c>
    </row>
    <row r="837" spans="7:7">
      <c r="G837" t="str">
        <f t="shared" ref="G837:G900" si="361">A837&amp;"_"&amp;D837</f>
        <v>_</v>
      </c>
    </row>
    <row r="838" spans="7:7">
      <c r="G838" t="str">
        <f t="shared" si="361"/>
        <v>_</v>
      </c>
    </row>
    <row r="839" spans="7:7">
      <c r="G839" t="str">
        <f t="shared" si="361"/>
        <v>_</v>
      </c>
    </row>
    <row r="840" spans="7:7">
      <c r="G840" t="str">
        <f t="shared" si="361"/>
        <v>_</v>
      </c>
    </row>
    <row r="841" spans="7:7">
      <c r="G841" t="str">
        <f t="shared" si="361"/>
        <v>_</v>
      </c>
    </row>
    <row r="842" spans="7:7">
      <c r="G842" t="str">
        <f t="shared" si="361"/>
        <v>_</v>
      </c>
    </row>
    <row r="843" spans="7:7">
      <c r="G843" t="str">
        <f t="shared" si="361"/>
        <v>_</v>
      </c>
    </row>
    <row r="844" spans="7:7">
      <c r="G844" t="str">
        <f t="shared" si="361"/>
        <v>_</v>
      </c>
    </row>
    <row r="845" spans="7:7">
      <c r="G845" t="str">
        <f t="shared" si="361"/>
        <v>_</v>
      </c>
    </row>
    <row r="846" spans="7:7">
      <c r="G846" t="str">
        <f t="shared" si="361"/>
        <v>_</v>
      </c>
    </row>
    <row r="847" spans="7:7">
      <c r="G847" t="str">
        <f t="shared" si="361"/>
        <v>_</v>
      </c>
    </row>
    <row r="848" spans="7:7">
      <c r="G848" t="str">
        <f t="shared" si="361"/>
        <v>_</v>
      </c>
    </row>
    <row r="849" spans="7:7">
      <c r="G849" t="str">
        <f t="shared" si="361"/>
        <v>_</v>
      </c>
    </row>
    <row r="850" spans="7:7">
      <c r="G850" t="str">
        <f t="shared" si="361"/>
        <v>_</v>
      </c>
    </row>
    <row r="851" spans="7:7">
      <c r="G851" t="str">
        <f t="shared" si="361"/>
        <v>_</v>
      </c>
    </row>
    <row r="852" spans="7:7">
      <c r="G852" t="str">
        <f t="shared" si="361"/>
        <v>_</v>
      </c>
    </row>
    <row r="853" spans="7:7">
      <c r="G853" t="str">
        <f t="shared" si="361"/>
        <v>_</v>
      </c>
    </row>
    <row r="854" spans="7:7">
      <c r="G854" t="str">
        <f t="shared" si="361"/>
        <v>_</v>
      </c>
    </row>
    <row r="855" spans="7:7">
      <c r="G855" t="str">
        <f t="shared" si="361"/>
        <v>_</v>
      </c>
    </row>
    <row r="856" spans="7:7">
      <c r="G856" t="str">
        <f t="shared" si="361"/>
        <v>_</v>
      </c>
    </row>
    <row r="857" spans="7:7">
      <c r="G857" t="str">
        <f t="shared" si="361"/>
        <v>_</v>
      </c>
    </row>
    <row r="858" spans="7:7">
      <c r="G858" t="str">
        <f t="shared" si="361"/>
        <v>_</v>
      </c>
    </row>
    <row r="859" spans="7:7">
      <c r="G859" t="str">
        <f t="shared" si="361"/>
        <v>_</v>
      </c>
    </row>
    <row r="860" spans="7:7">
      <c r="G860" t="str">
        <f t="shared" si="361"/>
        <v>_</v>
      </c>
    </row>
    <row r="861" spans="7:7">
      <c r="G861" t="str">
        <f t="shared" si="361"/>
        <v>_</v>
      </c>
    </row>
    <row r="862" spans="7:7">
      <c r="G862" t="str">
        <f t="shared" si="361"/>
        <v>_</v>
      </c>
    </row>
    <row r="863" spans="7:7">
      <c r="G863" t="str">
        <f t="shared" si="361"/>
        <v>_</v>
      </c>
    </row>
    <row r="864" spans="7:7">
      <c r="G864" t="str">
        <f t="shared" si="361"/>
        <v>_</v>
      </c>
    </row>
    <row r="865" spans="7:7">
      <c r="G865" t="str">
        <f t="shared" si="361"/>
        <v>_</v>
      </c>
    </row>
    <row r="866" spans="7:7">
      <c r="G866" t="str">
        <f t="shared" si="361"/>
        <v>_</v>
      </c>
    </row>
    <row r="867" spans="7:7">
      <c r="G867" t="str">
        <f t="shared" si="361"/>
        <v>_</v>
      </c>
    </row>
    <row r="868" spans="7:7">
      <c r="G868" t="str">
        <f t="shared" si="361"/>
        <v>_</v>
      </c>
    </row>
    <row r="869" spans="7:7">
      <c r="G869" t="str">
        <f t="shared" si="361"/>
        <v>_</v>
      </c>
    </row>
    <row r="870" spans="7:7">
      <c r="G870" t="str">
        <f t="shared" si="361"/>
        <v>_</v>
      </c>
    </row>
    <row r="871" spans="7:7">
      <c r="G871" t="str">
        <f t="shared" si="361"/>
        <v>_</v>
      </c>
    </row>
    <row r="872" spans="7:7">
      <c r="G872" t="str">
        <f t="shared" si="361"/>
        <v>_</v>
      </c>
    </row>
    <row r="873" spans="7:7">
      <c r="G873" t="str">
        <f t="shared" si="361"/>
        <v>_</v>
      </c>
    </row>
    <row r="874" spans="7:7">
      <c r="G874" t="str">
        <f t="shared" si="361"/>
        <v>_</v>
      </c>
    </row>
    <row r="875" spans="7:7">
      <c r="G875" t="str">
        <f t="shared" si="361"/>
        <v>_</v>
      </c>
    </row>
    <row r="876" spans="7:7">
      <c r="G876" t="str">
        <f t="shared" si="361"/>
        <v>_</v>
      </c>
    </row>
    <row r="877" spans="7:7">
      <c r="G877" t="str">
        <f t="shared" si="361"/>
        <v>_</v>
      </c>
    </row>
    <row r="878" spans="7:7">
      <c r="G878" t="str">
        <f t="shared" si="361"/>
        <v>_</v>
      </c>
    </row>
    <row r="879" spans="7:7">
      <c r="G879" t="str">
        <f t="shared" si="361"/>
        <v>_</v>
      </c>
    </row>
    <row r="880" spans="7:7">
      <c r="G880" t="str">
        <f t="shared" si="361"/>
        <v>_</v>
      </c>
    </row>
    <row r="881" spans="7:7">
      <c r="G881" t="str">
        <f t="shared" si="361"/>
        <v>_</v>
      </c>
    </row>
    <row r="882" spans="7:7">
      <c r="G882" t="str">
        <f t="shared" si="361"/>
        <v>_</v>
      </c>
    </row>
    <row r="883" spans="7:7">
      <c r="G883" t="str">
        <f t="shared" si="361"/>
        <v>_</v>
      </c>
    </row>
    <row r="884" spans="7:7">
      <c r="G884" t="str">
        <f t="shared" si="361"/>
        <v>_</v>
      </c>
    </row>
    <row r="885" spans="7:7">
      <c r="G885" t="str">
        <f t="shared" si="361"/>
        <v>_</v>
      </c>
    </row>
    <row r="886" spans="7:7">
      <c r="G886" t="str">
        <f t="shared" si="361"/>
        <v>_</v>
      </c>
    </row>
    <row r="887" spans="7:7">
      <c r="G887" t="str">
        <f t="shared" si="361"/>
        <v>_</v>
      </c>
    </row>
    <row r="888" spans="7:7">
      <c r="G888" t="str">
        <f t="shared" si="361"/>
        <v>_</v>
      </c>
    </row>
    <row r="889" spans="7:7">
      <c r="G889" t="str">
        <f t="shared" si="361"/>
        <v>_</v>
      </c>
    </row>
    <row r="890" spans="7:7">
      <c r="G890" t="str">
        <f t="shared" si="361"/>
        <v>_</v>
      </c>
    </row>
    <row r="891" spans="7:7">
      <c r="G891" t="str">
        <f t="shared" si="361"/>
        <v>_</v>
      </c>
    </row>
    <row r="892" spans="7:7">
      <c r="G892" t="str">
        <f t="shared" si="361"/>
        <v>_</v>
      </c>
    </row>
    <row r="893" spans="7:7">
      <c r="G893" t="str">
        <f t="shared" si="361"/>
        <v>_</v>
      </c>
    </row>
    <row r="894" spans="7:7">
      <c r="G894" t="str">
        <f t="shared" si="361"/>
        <v>_</v>
      </c>
    </row>
    <row r="895" spans="7:7">
      <c r="G895" t="str">
        <f t="shared" si="361"/>
        <v>_</v>
      </c>
    </row>
    <row r="896" spans="7:7">
      <c r="G896" t="str">
        <f t="shared" si="361"/>
        <v>_</v>
      </c>
    </row>
    <row r="897" spans="7:7">
      <c r="G897" t="str">
        <f t="shared" si="361"/>
        <v>_</v>
      </c>
    </row>
    <row r="898" spans="7:7">
      <c r="G898" t="str">
        <f t="shared" si="361"/>
        <v>_</v>
      </c>
    </row>
    <row r="899" spans="7:7">
      <c r="G899" t="str">
        <f t="shared" si="361"/>
        <v>_</v>
      </c>
    </row>
    <row r="900" spans="7:7">
      <c r="G900" t="str">
        <f t="shared" si="361"/>
        <v>_</v>
      </c>
    </row>
    <row r="901" spans="7:7">
      <c r="G901" t="str">
        <f t="shared" ref="G901:G964" si="362">A901&amp;"_"&amp;D901</f>
        <v>_</v>
      </c>
    </row>
    <row r="902" spans="7:7">
      <c r="G902" t="str">
        <f t="shared" si="362"/>
        <v>_</v>
      </c>
    </row>
    <row r="903" spans="7:7">
      <c r="G903" t="str">
        <f t="shared" si="362"/>
        <v>_</v>
      </c>
    </row>
    <row r="904" spans="7:7">
      <c r="G904" t="str">
        <f t="shared" si="362"/>
        <v>_</v>
      </c>
    </row>
    <row r="905" spans="7:7">
      <c r="G905" t="str">
        <f t="shared" si="362"/>
        <v>_</v>
      </c>
    </row>
    <row r="906" spans="7:7">
      <c r="G906" t="str">
        <f t="shared" si="362"/>
        <v>_</v>
      </c>
    </row>
    <row r="907" spans="7:7">
      <c r="G907" t="str">
        <f t="shared" si="362"/>
        <v>_</v>
      </c>
    </row>
    <row r="908" spans="7:7">
      <c r="G908" t="str">
        <f t="shared" si="362"/>
        <v>_</v>
      </c>
    </row>
    <row r="909" spans="7:7">
      <c r="G909" t="str">
        <f t="shared" si="362"/>
        <v>_</v>
      </c>
    </row>
    <row r="910" spans="7:7">
      <c r="G910" t="str">
        <f t="shared" si="362"/>
        <v>_</v>
      </c>
    </row>
    <row r="911" spans="7:7">
      <c r="G911" t="str">
        <f t="shared" si="362"/>
        <v>_</v>
      </c>
    </row>
    <row r="912" spans="7:7">
      <c r="G912" t="str">
        <f t="shared" si="362"/>
        <v>_</v>
      </c>
    </row>
    <row r="913" spans="7:7">
      <c r="G913" t="str">
        <f t="shared" si="362"/>
        <v>_</v>
      </c>
    </row>
    <row r="914" spans="7:7">
      <c r="G914" t="str">
        <f t="shared" si="362"/>
        <v>_</v>
      </c>
    </row>
    <row r="915" spans="7:7">
      <c r="G915" t="str">
        <f t="shared" si="362"/>
        <v>_</v>
      </c>
    </row>
    <row r="916" spans="7:7">
      <c r="G916" t="str">
        <f t="shared" si="362"/>
        <v>_</v>
      </c>
    </row>
    <row r="917" spans="7:7">
      <c r="G917" t="str">
        <f t="shared" si="362"/>
        <v>_</v>
      </c>
    </row>
    <row r="918" spans="7:7">
      <c r="G918" t="str">
        <f t="shared" si="362"/>
        <v>_</v>
      </c>
    </row>
    <row r="919" spans="7:7">
      <c r="G919" t="str">
        <f t="shared" si="362"/>
        <v>_</v>
      </c>
    </row>
    <row r="920" spans="7:7">
      <c r="G920" t="str">
        <f t="shared" si="362"/>
        <v>_</v>
      </c>
    </row>
    <row r="921" spans="7:7">
      <c r="G921" t="str">
        <f t="shared" si="362"/>
        <v>_</v>
      </c>
    </row>
    <row r="922" spans="7:7">
      <c r="G922" t="str">
        <f t="shared" si="362"/>
        <v>_</v>
      </c>
    </row>
    <row r="923" spans="7:7">
      <c r="G923" t="str">
        <f t="shared" si="362"/>
        <v>_</v>
      </c>
    </row>
    <row r="924" spans="7:7">
      <c r="G924" t="str">
        <f t="shared" si="362"/>
        <v>_</v>
      </c>
    </row>
    <row r="925" spans="7:7">
      <c r="G925" t="str">
        <f t="shared" si="362"/>
        <v>_</v>
      </c>
    </row>
    <row r="926" spans="7:7">
      <c r="G926" t="str">
        <f t="shared" si="362"/>
        <v>_</v>
      </c>
    </row>
    <row r="927" spans="7:7">
      <c r="G927" t="str">
        <f t="shared" si="362"/>
        <v>_</v>
      </c>
    </row>
    <row r="928" spans="7:7">
      <c r="G928" t="str">
        <f t="shared" si="362"/>
        <v>_</v>
      </c>
    </row>
    <row r="929" spans="7:7">
      <c r="G929" t="str">
        <f t="shared" si="362"/>
        <v>_</v>
      </c>
    </row>
    <row r="930" spans="7:7">
      <c r="G930" t="str">
        <f t="shared" si="362"/>
        <v>_</v>
      </c>
    </row>
    <row r="931" spans="7:7">
      <c r="G931" t="str">
        <f t="shared" si="362"/>
        <v>_</v>
      </c>
    </row>
    <row r="932" spans="7:7">
      <c r="G932" t="str">
        <f t="shared" si="362"/>
        <v>_</v>
      </c>
    </row>
    <row r="933" spans="7:7">
      <c r="G933" t="str">
        <f t="shared" si="362"/>
        <v>_</v>
      </c>
    </row>
    <row r="934" spans="7:7">
      <c r="G934" t="str">
        <f t="shared" si="362"/>
        <v>_</v>
      </c>
    </row>
    <row r="935" spans="7:7">
      <c r="G935" t="str">
        <f t="shared" si="362"/>
        <v>_</v>
      </c>
    </row>
    <row r="936" spans="7:7">
      <c r="G936" t="str">
        <f t="shared" si="362"/>
        <v>_</v>
      </c>
    </row>
    <row r="937" spans="7:7">
      <c r="G937" t="str">
        <f t="shared" si="362"/>
        <v>_</v>
      </c>
    </row>
    <row r="938" spans="7:7">
      <c r="G938" t="str">
        <f t="shared" si="362"/>
        <v>_</v>
      </c>
    </row>
    <row r="939" spans="7:7">
      <c r="G939" t="str">
        <f t="shared" si="362"/>
        <v>_</v>
      </c>
    </row>
    <row r="940" spans="7:7">
      <c r="G940" t="str">
        <f t="shared" si="362"/>
        <v>_</v>
      </c>
    </row>
    <row r="941" spans="7:7">
      <c r="G941" t="str">
        <f t="shared" si="362"/>
        <v>_</v>
      </c>
    </row>
    <row r="942" spans="7:7">
      <c r="G942" t="str">
        <f t="shared" si="362"/>
        <v>_</v>
      </c>
    </row>
    <row r="943" spans="7:7">
      <c r="G943" t="str">
        <f t="shared" si="362"/>
        <v>_</v>
      </c>
    </row>
    <row r="944" spans="7:7">
      <c r="G944" t="str">
        <f t="shared" si="362"/>
        <v>_</v>
      </c>
    </row>
    <row r="945" spans="7:7">
      <c r="G945" t="str">
        <f t="shared" si="362"/>
        <v>_</v>
      </c>
    </row>
    <row r="946" spans="7:7">
      <c r="G946" t="str">
        <f t="shared" si="362"/>
        <v>_</v>
      </c>
    </row>
    <row r="947" spans="7:7">
      <c r="G947" t="str">
        <f t="shared" si="362"/>
        <v>_</v>
      </c>
    </row>
    <row r="948" spans="7:7">
      <c r="G948" t="str">
        <f t="shared" si="362"/>
        <v>_</v>
      </c>
    </row>
    <row r="949" spans="7:7">
      <c r="G949" t="str">
        <f t="shared" si="362"/>
        <v>_</v>
      </c>
    </row>
    <row r="950" spans="7:7">
      <c r="G950" t="str">
        <f t="shared" si="362"/>
        <v>_</v>
      </c>
    </row>
    <row r="951" spans="7:7">
      <c r="G951" t="str">
        <f t="shared" si="362"/>
        <v>_</v>
      </c>
    </row>
    <row r="952" spans="7:7">
      <c r="G952" t="str">
        <f t="shared" si="362"/>
        <v>_</v>
      </c>
    </row>
    <row r="953" spans="7:7">
      <c r="G953" t="str">
        <f t="shared" si="362"/>
        <v>_</v>
      </c>
    </row>
    <row r="954" spans="7:7">
      <c r="G954" t="str">
        <f t="shared" si="362"/>
        <v>_</v>
      </c>
    </row>
    <row r="955" spans="7:7">
      <c r="G955" t="str">
        <f t="shared" si="362"/>
        <v>_</v>
      </c>
    </row>
    <row r="956" spans="7:7">
      <c r="G956" t="str">
        <f t="shared" si="362"/>
        <v>_</v>
      </c>
    </row>
    <row r="957" spans="7:7">
      <c r="G957" t="str">
        <f t="shared" si="362"/>
        <v>_</v>
      </c>
    </row>
    <row r="958" spans="7:7">
      <c r="G958" t="str">
        <f t="shared" si="362"/>
        <v>_</v>
      </c>
    </row>
    <row r="959" spans="7:7">
      <c r="G959" t="str">
        <f t="shared" si="362"/>
        <v>_</v>
      </c>
    </row>
    <row r="960" spans="7:7">
      <c r="G960" t="str">
        <f t="shared" si="362"/>
        <v>_</v>
      </c>
    </row>
    <row r="961" spans="7:7">
      <c r="G961" t="str">
        <f t="shared" si="362"/>
        <v>_</v>
      </c>
    </row>
    <row r="962" spans="7:7">
      <c r="G962" t="str">
        <f t="shared" si="362"/>
        <v>_</v>
      </c>
    </row>
    <row r="963" spans="7:7">
      <c r="G963" t="str">
        <f t="shared" si="362"/>
        <v>_</v>
      </c>
    </row>
    <row r="964" spans="7:7">
      <c r="G964" t="str">
        <f t="shared" si="362"/>
        <v>_</v>
      </c>
    </row>
    <row r="965" spans="7:7">
      <c r="G965" t="str">
        <f t="shared" ref="G965:G1028" si="363">A965&amp;"_"&amp;D965</f>
        <v>_</v>
      </c>
    </row>
    <row r="966" spans="7:7">
      <c r="G966" t="str">
        <f t="shared" si="363"/>
        <v>_</v>
      </c>
    </row>
    <row r="967" spans="7:7">
      <c r="G967" t="str">
        <f t="shared" si="363"/>
        <v>_</v>
      </c>
    </row>
    <row r="968" spans="7:7">
      <c r="G968" t="str">
        <f t="shared" si="363"/>
        <v>_</v>
      </c>
    </row>
    <row r="969" spans="7:7">
      <c r="G969" t="str">
        <f t="shared" si="363"/>
        <v>_</v>
      </c>
    </row>
    <row r="970" spans="7:7">
      <c r="G970" t="str">
        <f t="shared" si="363"/>
        <v>_</v>
      </c>
    </row>
    <row r="971" spans="7:7">
      <c r="G971" t="str">
        <f t="shared" si="363"/>
        <v>_</v>
      </c>
    </row>
    <row r="972" spans="7:7">
      <c r="G972" t="str">
        <f t="shared" si="363"/>
        <v>_</v>
      </c>
    </row>
    <row r="973" spans="7:7">
      <c r="G973" t="str">
        <f t="shared" si="363"/>
        <v>_</v>
      </c>
    </row>
    <row r="974" spans="7:7">
      <c r="G974" t="str">
        <f t="shared" si="363"/>
        <v>_</v>
      </c>
    </row>
    <row r="975" spans="7:7">
      <c r="G975" t="str">
        <f t="shared" si="363"/>
        <v>_</v>
      </c>
    </row>
    <row r="976" spans="7:7">
      <c r="G976" t="str">
        <f t="shared" si="363"/>
        <v>_</v>
      </c>
    </row>
    <row r="977" spans="7:7">
      <c r="G977" t="str">
        <f t="shared" si="363"/>
        <v>_</v>
      </c>
    </row>
    <row r="978" spans="7:7">
      <c r="G978" t="str">
        <f t="shared" si="363"/>
        <v>_</v>
      </c>
    </row>
    <row r="979" spans="7:7">
      <c r="G979" t="str">
        <f t="shared" si="363"/>
        <v>_</v>
      </c>
    </row>
    <row r="980" spans="7:7">
      <c r="G980" t="str">
        <f t="shared" si="363"/>
        <v>_</v>
      </c>
    </row>
    <row r="981" spans="7:7">
      <c r="G981" t="str">
        <f t="shared" si="363"/>
        <v>_</v>
      </c>
    </row>
    <row r="982" spans="7:7">
      <c r="G982" t="str">
        <f t="shared" si="363"/>
        <v>_</v>
      </c>
    </row>
    <row r="983" spans="7:7">
      <c r="G983" t="str">
        <f t="shared" si="363"/>
        <v>_</v>
      </c>
    </row>
    <row r="984" spans="7:7">
      <c r="G984" t="str">
        <f t="shared" si="363"/>
        <v>_</v>
      </c>
    </row>
    <row r="985" spans="7:7">
      <c r="G985" t="str">
        <f t="shared" si="363"/>
        <v>_</v>
      </c>
    </row>
    <row r="986" spans="7:7">
      <c r="G986" t="str">
        <f t="shared" si="363"/>
        <v>_</v>
      </c>
    </row>
    <row r="987" spans="7:7">
      <c r="G987" t="str">
        <f t="shared" si="363"/>
        <v>_</v>
      </c>
    </row>
    <row r="988" spans="7:7">
      <c r="G988" t="str">
        <f t="shared" si="363"/>
        <v>_</v>
      </c>
    </row>
    <row r="989" spans="7:7">
      <c r="G989" t="str">
        <f t="shared" si="363"/>
        <v>_</v>
      </c>
    </row>
    <row r="990" spans="7:7">
      <c r="G990" t="str">
        <f t="shared" si="363"/>
        <v>_</v>
      </c>
    </row>
    <row r="991" spans="7:7">
      <c r="G991" t="str">
        <f t="shared" si="363"/>
        <v>_</v>
      </c>
    </row>
    <row r="992" spans="7:7">
      <c r="G992" t="str">
        <f t="shared" si="363"/>
        <v>_</v>
      </c>
    </row>
    <row r="993" spans="7:7">
      <c r="G993" t="str">
        <f t="shared" si="363"/>
        <v>_</v>
      </c>
    </row>
    <row r="994" spans="7:7">
      <c r="G994" t="str">
        <f t="shared" si="363"/>
        <v>_</v>
      </c>
    </row>
    <row r="995" spans="7:7">
      <c r="G995" t="str">
        <f t="shared" si="363"/>
        <v>_</v>
      </c>
    </row>
    <row r="996" spans="7:7">
      <c r="G996" t="str">
        <f t="shared" si="363"/>
        <v>_</v>
      </c>
    </row>
    <row r="997" spans="7:7">
      <c r="G997" t="str">
        <f t="shared" si="363"/>
        <v>_</v>
      </c>
    </row>
    <row r="998" spans="7:7">
      <c r="G998" t="str">
        <f t="shared" si="363"/>
        <v>_</v>
      </c>
    </row>
    <row r="999" spans="7:7">
      <c r="G999" t="str">
        <f t="shared" si="363"/>
        <v>_</v>
      </c>
    </row>
    <row r="1000" spans="7:7">
      <c r="G1000" t="str">
        <f t="shared" si="363"/>
        <v>_</v>
      </c>
    </row>
    <row r="1001" spans="7:7">
      <c r="G1001" t="str">
        <f t="shared" si="363"/>
        <v>_</v>
      </c>
    </row>
    <row r="1002" spans="7:7">
      <c r="G1002" t="str">
        <f t="shared" si="363"/>
        <v>_</v>
      </c>
    </row>
    <row r="1003" spans="7:7">
      <c r="G1003" t="str">
        <f t="shared" si="363"/>
        <v>_</v>
      </c>
    </row>
    <row r="1004" spans="7:7">
      <c r="G1004" t="str">
        <f t="shared" si="363"/>
        <v>_</v>
      </c>
    </row>
    <row r="1005" spans="7:7">
      <c r="G1005" t="str">
        <f t="shared" si="363"/>
        <v>_</v>
      </c>
    </row>
    <row r="1006" spans="7:7">
      <c r="G1006" t="str">
        <f t="shared" si="363"/>
        <v>_</v>
      </c>
    </row>
    <row r="1007" spans="7:7">
      <c r="G1007" t="str">
        <f t="shared" si="363"/>
        <v>_</v>
      </c>
    </row>
    <row r="1008" spans="7:7">
      <c r="G1008" t="str">
        <f t="shared" si="363"/>
        <v>_</v>
      </c>
    </row>
    <row r="1009" spans="7:7">
      <c r="G1009" t="str">
        <f t="shared" si="363"/>
        <v>_</v>
      </c>
    </row>
    <row r="1010" spans="7:7">
      <c r="G1010" t="str">
        <f t="shared" si="363"/>
        <v>_</v>
      </c>
    </row>
    <row r="1011" spans="7:7">
      <c r="G1011" t="str">
        <f t="shared" si="363"/>
        <v>_</v>
      </c>
    </row>
    <row r="1012" spans="7:7">
      <c r="G1012" t="str">
        <f t="shared" si="363"/>
        <v>_</v>
      </c>
    </row>
    <row r="1013" spans="7:7">
      <c r="G1013" t="str">
        <f t="shared" si="363"/>
        <v>_</v>
      </c>
    </row>
    <row r="1014" spans="7:7">
      <c r="G1014" t="str">
        <f t="shared" si="363"/>
        <v>_</v>
      </c>
    </row>
    <row r="1015" spans="7:7">
      <c r="G1015" t="str">
        <f t="shared" si="363"/>
        <v>_</v>
      </c>
    </row>
    <row r="1016" spans="7:7">
      <c r="G1016" t="str">
        <f t="shared" si="363"/>
        <v>_</v>
      </c>
    </row>
    <row r="1017" spans="7:7">
      <c r="G1017" t="str">
        <f t="shared" si="363"/>
        <v>_</v>
      </c>
    </row>
    <row r="1018" spans="7:7">
      <c r="G1018" t="str">
        <f t="shared" si="363"/>
        <v>_</v>
      </c>
    </row>
    <row r="1019" spans="7:7">
      <c r="G1019" t="str">
        <f t="shared" si="363"/>
        <v>_</v>
      </c>
    </row>
    <row r="1020" spans="7:7">
      <c r="G1020" t="str">
        <f t="shared" si="363"/>
        <v>_</v>
      </c>
    </row>
    <row r="1021" spans="7:7">
      <c r="G1021" t="str">
        <f t="shared" si="363"/>
        <v>_</v>
      </c>
    </row>
    <row r="1022" spans="7:7">
      <c r="G1022" t="str">
        <f t="shared" si="363"/>
        <v>_</v>
      </c>
    </row>
    <row r="1023" spans="7:7">
      <c r="G1023" t="str">
        <f t="shared" si="363"/>
        <v>_</v>
      </c>
    </row>
    <row r="1024" spans="7:7">
      <c r="G1024" t="str">
        <f t="shared" si="363"/>
        <v>_</v>
      </c>
    </row>
    <row r="1025" spans="7:7">
      <c r="G1025" t="str">
        <f t="shared" si="363"/>
        <v>_</v>
      </c>
    </row>
    <row r="1026" spans="7:7">
      <c r="G1026" t="str">
        <f t="shared" si="363"/>
        <v>_</v>
      </c>
    </row>
    <row r="1027" spans="7:7">
      <c r="G1027" t="str">
        <f t="shared" si="363"/>
        <v>_</v>
      </c>
    </row>
    <row r="1028" spans="7:7">
      <c r="G1028" t="str">
        <f t="shared" si="363"/>
        <v>_</v>
      </c>
    </row>
    <row r="1029" spans="7:7">
      <c r="G1029" t="str">
        <f t="shared" ref="G1029:G1092" si="364">A1029&amp;"_"&amp;D1029</f>
        <v>_</v>
      </c>
    </row>
    <row r="1030" spans="7:7">
      <c r="G1030" t="str">
        <f t="shared" si="364"/>
        <v>_</v>
      </c>
    </row>
    <row r="1031" spans="7:7">
      <c r="G1031" t="str">
        <f t="shared" si="364"/>
        <v>_</v>
      </c>
    </row>
    <row r="1032" spans="7:7">
      <c r="G1032" t="str">
        <f t="shared" si="364"/>
        <v>_</v>
      </c>
    </row>
    <row r="1033" spans="7:7">
      <c r="G1033" t="str">
        <f t="shared" si="364"/>
        <v>_</v>
      </c>
    </row>
    <row r="1034" spans="7:7">
      <c r="G1034" t="str">
        <f t="shared" si="364"/>
        <v>_</v>
      </c>
    </row>
    <row r="1035" spans="7:7">
      <c r="G1035" t="str">
        <f t="shared" si="364"/>
        <v>_</v>
      </c>
    </row>
    <row r="1036" spans="7:7">
      <c r="G1036" t="str">
        <f t="shared" si="364"/>
        <v>_</v>
      </c>
    </row>
    <row r="1037" spans="7:7">
      <c r="G1037" t="str">
        <f t="shared" si="364"/>
        <v>_</v>
      </c>
    </row>
    <row r="1038" spans="7:7">
      <c r="G1038" t="str">
        <f t="shared" si="364"/>
        <v>_</v>
      </c>
    </row>
    <row r="1039" spans="7:7">
      <c r="G1039" t="str">
        <f t="shared" si="364"/>
        <v>_</v>
      </c>
    </row>
    <row r="1040" spans="7:7">
      <c r="G1040" t="str">
        <f t="shared" si="364"/>
        <v>_</v>
      </c>
    </row>
    <row r="1041" spans="7:7">
      <c r="G1041" t="str">
        <f t="shared" si="364"/>
        <v>_</v>
      </c>
    </row>
    <row r="1042" spans="7:7">
      <c r="G1042" t="str">
        <f t="shared" si="364"/>
        <v>_</v>
      </c>
    </row>
    <row r="1043" spans="7:7">
      <c r="G1043" t="str">
        <f t="shared" si="364"/>
        <v>_</v>
      </c>
    </row>
    <row r="1044" spans="7:7">
      <c r="G1044" t="str">
        <f t="shared" si="364"/>
        <v>_</v>
      </c>
    </row>
    <row r="1045" spans="7:7">
      <c r="G1045" t="str">
        <f t="shared" si="364"/>
        <v>_</v>
      </c>
    </row>
    <row r="1046" spans="7:7">
      <c r="G1046" t="str">
        <f t="shared" si="364"/>
        <v>_</v>
      </c>
    </row>
    <row r="1047" spans="7:7">
      <c r="G1047" t="str">
        <f t="shared" si="364"/>
        <v>_</v>
      </c>
    </row>
    <row r="1048" spans="7:7">
      <c r="G1048" t="str">
        <f t="shared" si="364"/>
        <v>_</v>
      </c>
    </row>
    <row r="1049" spans="7:7">
      <c r="G1049" t="str">
        <f t="shared" si="364"/>
        <v>_</v>
      </c>
    </row>
    <row r="1050" spans="7:7">
      <c r="G1050" t="str">
        <f t="shared" si="364"/>
        <v>_</v>
      </c>
    </row>
    <row r="1051" spans="7:7">
      <c r="G1051" t="str">
        <f t="shared" si="364"/>
        <v>_</v>
      </c>
    </row>
    <row r="1052" spans="7:7">
      <c r="G1052" t="str">
        <f t="shared" si="364"/>
        <v>_</v>
      </c>
    </row>
    <row r="1053" spans="7:7">
      <c r="G1053" t="str">
        <f t="shared" si="364"/>
        <v>_</v>
      </c>
    </row>
    <row r="1054" spans="7:7">
      <c r="G1054" t="str">
        <f t="shared" si="364"/>
        <v>_</v>
      </c>
    </row>
    <row r="1055" spans="7:7">
      <c r="G1055" t="str">
        <f t="shared" si="364"/>
        <v>_</v>
      </c>
    </row>
    <row r="1056" spans="7:7">
      <c r="G1056" t="str">
        <f t="shared" si="364"/>
        <v>_</v>
      </c>
    </row>
    <row r="1057" spans="7:7">
      <c r="G1057" t="str">
        <f t="shared" si="364"/>
        <v>_</v>
      </c>
    </row>
    <row r="1058" spans="7:7">
      <c r="G1058" t="str">
        <f t="shared" si="364"/>
        <v>_</v>
      </c>
    </row>
    <row r="1059" spans="7:7">
      <c r="G1059" t="str">
        <f t="shared" si="364"/>
        <v>_</v>
      </c>
    </row>
    <row r="1060" spans="7:7">
      <c r="G1060" t="str">
        <f t="shared" si="364"/>
        <v>_</v>
      </c>
    </row>
    <row r="1061" spans="7:7">
      <c r="G1061" t="str">
        <f t="shared" si="364"/>
        <v>_</v>
      </c>
    </row>
    <row r="1062" spans="7:7">
      <c r="G1062" t="str">
        <f t="shared" si="364"/>
        <v>_</v>
      </c>
    </row>
    <row r="1063" spans="7:7">
      <c r="G1063" t="str">
        <f t="shared" si="364"/>
        <v>_</v>
      </c>
    </row>
    <row r="1064" spans="7:7">
      <c r="G1064" t="str">
        <f t="shared" si="364"/>
        <v>_</v>
      </c>
    </row>
    <row r="1065" spans="7:7">
      <c r="G1065" t="str">
        <f t="shared" si="364"/>
        <v>_</v>
      </c>
    </row>
    <row r="1066" spans="7:7">
      <c r="G1066" t="str">
        <f t="shared" si="364"/>
        <v>_</v>
      </c>
    </row>
    <row r="1067" spans="7:7">
      <c r="G1067" t="str">
        <f t="shared" si="364"/>
        <v>_</v>
      </c>
    </row>
    <row r="1068" spans="7:7">
      <c r="G1068" t="str">
        <f t="shared" si="364"/>
        <v>_</v>
      </c>
    </row>
    <row r="1069" spans="7:7">
      <c r="G1069" t="str">
        <f t="shared" si="364"/>
        <v>_</v>
      </c>
    </row>
    <row r="1070" spans="7:7">
      <c r="G1070" t="str">
        <f t="shared" si="364"/>
        <v>_</v>
      </c>
    </row>
    <row r="1071" spans="7:7">
      <c r="G1071" t="str">
        <f t="shared" si="364"/>
        <v>_</v>
      </c>
    </row>
    <row r="1072" spans="7:7">
      <c r="G1072" t="str">
        <f t="shared" si="364"/>
        <v>_</v>
      </c>
    </row>
    <row r="1073" spans="7:7">
      <c r="G1073" t="str">
        <f t="shared" si="364"/>
        <v>_</v>
      </c>
    </row>
    <row r="1074" spans="7:7">
      <c r="G1074" t="str">
        <f t="shared" si="364"/>
        <v>_</v>
      </c>
    </row>
    <row r="1075" spans="7:7">
      <c r="G1075" t="str">
        <f t="shared" si="364"/>
        <v>_</v>
      </c>
    </row>
    <row r="1076" spans="7:7">
      <c r="G1076" t="str">
        <f t="shared" si="364"/>
        <v>_</v>
      </c>
    </row>
    <row r="1077" spans="7:7">
      <c r="G1077" t="str">
        <f t="shared" si="364"/>
        <v>_</v>
      </c>
    </row>
    <row r="1078" spans="7:7">
      <c r="G1078" t="str">
        <f t="shared" si="364"/>
        <v>_</v>
      </c>
    </row>
    <row r="1079" spans="7:7">
      <c r="G1079" t="str">
        <f t="shared" si="364"/>
        <v>_</v>
      </c>
    </row>
    <row r="1080" spans="7:7">
      <c r="G1080" t="str">
        <f t="shared" si="364"/>
        <v>_</v>
      </c>
    </row>
    <row r="1081" spans="7:7">
      <c r="G1081" t="str">
        <f t="shared" si="364"/>
        <v>_</v>
      </c>
    </row>
    <row r="1082" spans="7:7">
      <c r="G1082" t="str">
        <f t="shared" si="364"/>
        <v>_</v>
      </c>
    </row>
    <row r="1083" spans="7:7">
      <c r="G1083" t="str">
        <f t="shared" si="364"/>
        <v>_</v>
      </c>
    </row>
    <row r="1084" spans="7:7">
      <c r="G1084" t="str">
        <f t="shared" si="364"/>
        <v>_</v>
      </c>
    </row>
    <row r="1085" spans="7:7">
      <c r="G1085" t="str">
        <f t="shared" si="364"/>
        <v>_</v>
      </c>
    </row>
    <row r="1086" spans="7:7">
      <c r="G1086" t="str">
        <f t="shared" si="364"/>
        <v>_</v>
      </c>
    </row>
    <row r="1087" spans="7:7">
      <c r="G1087" t="str">
        <f t="shared" si="364"/>
        <v>_</v>
      </c>
    </row>
    <row r="1088" spans="7:7">
      <c r="G1088" t="str">
        <f t="shared" si="364"/>
        <v>_</v>
      </c>
    </row>
    <row r="1089" spans="7:7">
      <c r="G1089" t="str">
        <f t="shared" si="364"/>
        <v>_</v>
      </c>
    </row>
    <row r="1090" spans="7:7">
      <c r="G1090" t="str">
        <f t="shared" si="364"/>
        <v>_</v>
      </c>
    </row>
    <row r="1091" spans="7:7">
      <c r="G1091" t="str">
        <f t="shared" si="364"/>
        <v>_</v>
      </c>
    </row>
    <row r="1092" spans="7:7">
      <c r="G1092" t="str">
        <f t="shared" si="364"/>
        <v>_</v>
      </c>
    </row>
    <row r="1093" spans="7:7">
      <c r="G1093" t="str">
        <f t="shared" ref="G1093:G1156" si="365">A1093&amp;"_"&amp;D1093</f>
        <v>_</v>
      </c>
    </row>
    <row r="1094" spans="7:7">
      <c r="G1094" t="str">
        <f t="shared" si="365"/>
        <v>_</v>
      </c>
    </row>
    <row r="1095" spans="7:7">
      <c r="G1095" t="str">
        <f t="shared" si="365"/>
        <v>_</v>
      </c>
    </row>
    <row r="1096" spans="7:7">
      <c r="G1096" t="str">
        <f t="shared" si="365"/>
        <v>_</v>
      </c>
    </row>
    <row r="1097" spans="7:7">
      <c r="G1097" t="str">
        <f t="shared" si="365"/>
        <v>_</v>
      </c>
    </row>
    <row r="1098" spans="7:7">
      <c r="G1098" t="str">
        <f t="shared" si="365"/>
        <v>_</v>
      </c>
    </row>
    <row r="1099" spans="7:7">
      <c r="G1099" t="str">
        <f t="shared" si="365"/>
        <v>_</v>
      </c>
    </row>
    <row r="1100" spans="7:7">
      <c r="G1100" t="str">
        <f t="shared" si="365"/>
        <v>_</v>
      </c>
    </row>
    <row r="1101" spans="7:7">
      <c r="G1101" t="str">
        <f t="shared" si="365"/>
        <v>_</v>
      </c>
    </row>
    <row r="1102" spans="7:7">
      <c r="G1102" t="str">
        <f t="shared" si="365"/>
        <v>_</v>
      </c>
    </row>
    <row r="1103" spans="7:7">
      <c r="G1103" t="str">
        <f t="shared" si="365"/>
        <v>_</v>
      </c>
    </row>
    <row r="1104" spans="7:7">
      <c r="G1104" t="str">
        <f t="shared" si="365"/>
        <v>_</v>
      </c>
    </row>
    <row r="1105" spans="7:7">
      <c r="G1105" t="str">
        <f t="shared" si="365"/>
        <v>_</v>
      </c>
    </row>
    <row r="1106" spans="7:7">
      <c r="G1106" t="str">
        <f t="shared" si="365"/>
        <v>_</v>
      </c>
    </row>
    <row r="1107" spans="7:7">
      <c r="G1107" t="str">
        <f t="shared" si="365"/>
        <v>_</v>
      </c>
    </row>
    <row r="1108" spans="7:7">
      <c r="G1108" t="str">
        <f t="shared" si="365"/>
        <v>_</v>
      </c>
    </row>
    <row r="1109" spans="7:7">
      <c r="G1109" t="str">
        <f t="shared" si="365"/>
        <v>_</v>
      </c>
    </row>
    <row r="1110" spans="7:7">
      <c r="G1110" t="str">
        <f t="shared" si="365"/>
        <v>_</v>
      </c>
    </row>
    <row r="1111" spans="7:7">
      <c r="G1111" t="str">
        <f t="shared" si="365"/>
        <v>_</v>
      </c>
    </row>
    <row r="1112" spans="7:7">
      <c r="G1112" t="str">
        <f t="shared" si="365"/>
        <v>_</v>
      </c>
    </row>
    <row r="1113" spans="7:7">
      <c r="G1113" t="str">
        <f t="shared" si="365"/>
        <v>_</v>
      </c>
    </row>
    <row r="1114" spans="7:7">
      <c r="G1114" t="str">
        <f t="shared" si="365"/>
        <v>_</v>
      </c>
    </row>
    <row r="1115" spans="7:7">
      <c r="G1115" t="str">
        <f t="shared" si="365"/>
        <v>_</v>
      </c>
    </row>
    <row r="1116" spans="7:7">
      <c r="G1116" t="str">
        <f t="shared" si="365"/>
        <v>_</v>
      </c>
    </row>
    <row r="1117" spans="7:7">
      <c r="G1117" t="str">
        <f t="shared" si="365"/>
        <v>_</v>
      </c>
    </row>
    <row r="1118" spans="7:7">
      <c r="G1118" t="str">
        <f t="shared" si="365"/>
        <v>_</v>
      </c>
    </row>
    <row r="1119" spans="7:7">
      <c r="G1119" t="str">
        <f t="shared" si="365"/>
        <v>_</v>
      </c>
    </row>
    <row r="1120" spans="7:7">
      <c r="G1120" t="str">
        <f t="shared" si="365"/>
        <v>_</v>
      </c>
    </row>
    <row r="1121" spans="7:7">
      <c r="G1121" t="str">
        <f t="shared" si="365"/>
        <v>_</v>
      </c>
    </row>
    <row r="1122" spans="7:7">
      <c r="G1122" t="str">
        <f t="shared" si="365"/>
        <v>_</v>
      </c>
    </row>
    <row r="1123" spans="7:7">
      <c r="G1123" t="str">
        <f t="shared" si="365"/>
        <v>_</v>
      </c>
    </row>
    <row r="1124" spans="7:7">
      <c r="G1124" t="str">
        <f t="shared" si="365"/>
        <v>_</v>
      </c>
    </row>
    <row r="1125" spans="7:7">
      <c r="G1125" t="str">
        <f t="shared" si="365"/>
        <v>_</v>
      </c>
    </row>
    <row r="1126" spans="7:7">
      <c r="G1126" t="str">
        <f t="shared" si="365"/>
        <v>_</v>
      </c>
    </row>
    <row r="1127" spans="7:7">
      <c r="G1127" t="str">
        <f t="shared" si="365"/>
        <v>_</v>
      </c>
    </row>
    <row r="1128" spans="7:7">
      <c r="G1128" t="str">
        <f t="shared" si="365"/>
        <v>_</v>
      </c>
    </row>
    <row r="1129" spans="7:7">
      <c r="G1129" t="str">
        <f t="shared" si="365"/>
        <v>_</v>
      </c>
    </row>
    <row r="1130" spans="7:7">
      <c r="G1130" t="str">
        <f t="shared" si="365"/>
        <v>_</v>
      </c>
    </row>
    <row r="1131" spans="7:7">
      <c r="G1131" t="str">
        <f t="shared" si="365"/>
        <v>_</v>
      </c>
    </row>
    <row r="1132" spans="7:7">
      <c r="G1132" t="str">
        <f t="shared" si="365"/>
        <v>_</v>
      </c>
    </row>
    <row r="1133" spans="7:7">
      <c r="G1133" t="str">
        <f t="shared" si="365"/>
        <v>_</v>
      </c>
    </row>
    <row r="1134" spans="7:7">
      <c r="G1134" t="str">
        <f t="shared" si="365"/>
        <v>_</v>
      </c>
    </row>
    <row r="1135" spans="7:7">
      <c r="G1135" t="str">
        <f t="shared" si="365"/>
        <v>_</v>
      </c>
    </row>
    <row r="1136" spans="7:7">
      <c r="G1136" t="str">
        <f t="shared" si="365"/>
        <v>_</v>
      </c>
    </row>
    <row r="1137" spans="7:7">
      <c r="G1137" t="str">
        <f t="shared" si="365"/>
        <v>_</v>
      </c>
    </row>
    <row r="1138" spans="7:7">
      <c r="G1138" t="str">
        <f t="shared" si="365"/>
        <v>_</v>
      </c>
    </row>
    <row r="1139" spans="7:7">
      <c r="G1139" t="str">
        <f t="shared" si="365"/>
        <v>_</v>
      </c>
    </row>
    <row r="1140" spans="7:7">
      <c r="G1140" t="str">
        <f t="shared" si="365"/>
        <v>_</v>
      </c>
    </row>
    <row r="1141" spans="7:7">
      <c r="G1141" t="str">
        <f t="shared" si="365"/>
        <v>_</v>
      </c>
    </row>
    <row r="1142" spans="7:7">
      <c r="G1142" t="str">
        <f t="shared" si="365"/>
        <v>_</v>
      </c>
    </row>
    <row r="1143" spans="7:7">
      <c r="G1143" t="str">
        <f t="shared" si="365"/>
        <v>_</v>
      </c>
    </row>
    <row r="1144" spans="7:7">
      <c r="G1144" t="str">
        <f t="shared" si="365"/>
        <v>_</v>
      </c>
    </row>
    <row r="1145" spans="7:7">
      <c r="G1145" t="str">
        <f t="shared" si="365"/>
        <v>_</v>
      </c>
    </row>
    <row r="1146" spans="7:7">
      <c r="G1146" t="str">
        <f t="shared" si="365"/>
        <v>_</v>
      </c>
    </row>
    <row r="1147" spans="7:7">
      <c r="G1147" t="str">
        <f t="shared" si="365"/>
        <v>_</v>
      </c>
    </row>
    <row r="1148" spans="7:7">
      <c r="G1148" t="str">
        <f t="shared" si="365"/>
        <v>_</v>
      </c>
    </row>
    <row r="1149" spans="7:7">
      <c r="G1149" t="str">
        <f t="shared" si="365"/>
        <v>_</v>
      </c>
    </row>
    <row r="1150" spans="7:7">
      <c r="G1150" t="str">
        <f t="shared" si="365"/>
        <v>_</v>
      </c>
    </row>
    <row r="1151" spans="7:7">
      <c r="G1151" t="str">
        <f t="shared" si="365"/>
        <v>_</v>
      </c>
    </row>
    <row r="1152" spans="7:7">
      <c r="G1152" t="str">
        <f t="shared" si="365"/>
        <v>_</v>
      </c>
    </row>
    <row r="1153" spans="7:7">
      <c r="G1153" t="str">
        <f t="shared" si="365"/>
        <v>_</v>
      </c>
    </row>
    <row r="1154" spans="7:7">
      <c r="G1154" t="str">
        <f t="shared" si="365"/>
        <v>_</v>
      </c>
    </row>
    <row r="1155" spans="7:7">
      <c r="G1155" t="str">
        <f t="shared" si="365"/>
        <v>_</v>
      </c>
    </row>
    <row r="1156" spans="7:7">
      <c r="G1156" t="str">
        <f t="shared" si="365"/>
        <v>_</v>
      </c>
    </row>
    <row r="1157" spans="7:7">
      <c r="G1157" t="str">
        <f t="shared" ref="G1157:G1220" si="366">A1157&amp;"_"&amp;D1157</f>
        <v>_</v>
      </c>
    </row>
    <row r="1158" spans="7:7">
      <c r="G1158" t="str">
        <f t="shared" si="366"/>
        <v>_</v>
      </c>
    </row>
    <row r="1159" spans="7:7">
      <c r="G1159" t="str">
        <f t="shared" si="366"/>
        <v>_</v>
      </c>
    </row>
    <row r="1160" spans="7:7">
      <c r="G1160" t="str">
        <f t="shared" si="366"/>
        <v>_</v>
      </c>
    </row>
    <row r="1161" spans="7:7">
      <c r="G1161" t="str">
        <f t="shared" si="366"/>
        <v>_</v>
      </c>
    </row>
    <row r="1162" spans="7:7">
      <c r="G1162" t="str">
        <f t="shared" si="366"/>
        <v>_</v>
      </c>
    </row>
    <row r="1163" spans="7:7">
      <c r="G1163" t="str">
        <f t="shared" si="366"/>
        <v>_</v>
      </c>
    </row>
    <row r="1164" spans="7:7">
      <c r="G1164" t="str">
        <f t="shared" si="366"/>
        <v>_</v>
      </c>
    </row>
    <row r="1165" spans="7:7">
      <c r="G1165" t="str">
        <f t="shared" si="366"/>
        <v>_</v>
      </c>
    </row>
    <row r="1166" spans="7:7">
      <c r="G1166" t="str">
        <f t="shared" si="366"/>
        <v>_</v>
      </c>
    </row>
    <row r="1167" spans="7:7">
      <c r="G1167" t="str">
        <f t="shared" si="366"/>
        <v>_</v>
      </c>
    </row>
    <row r="1168" spans="7:7">
      <c r="G1168" t="str">
        <f t="shared" si="366"/>
        <v>_</v>
      </c>
    </row>
    <row r="1169" spans="7:7">
      <c r="G1169" t="str">
        <f t="shared" si="366"/>
        <v>_</v>
      </c>
    </row>
    <row r="1170" spans="7:7">
      <c r="G1170" t="str">
        <f t="shared" si="366"/>
        <v>_</v>
      </c>
    </row>
    <row r="1171" spans="7:7">
      <c r="G1171" t="str">
        <f t="shared" si="366"/>
        <v>_</v>
      </c>
    </row>
    <row r="1172" spans="7:7">
      <c r="G1172" t="str">
        <f t="shared" si="366"/>
        <v>_</v>
      </c>
    </row>
    <row r="1173" spans="7:7">
      <c r="G1173" t="str">
        <f t="shared" si="366"/>
        <v>_</v>
      </c>
    </row>
    <row r="1174" spans="7:7">
      <c r="G1174" t="str">
        <f t="shared" si="366"/>
        <v>_</v>
      </c>
    </row>
    <row r="1175" spans="7:7">
      <c r="G1175" t="str">
        <f t="shared" si="366"/>
        <v>_</v>
      </c>
    </row>
    <row r="1176" spans="7:7">
      <c r="G1176" t="str">
        <f t="shared" si="366"/>
        <v>_</v>
      </c>
    </row>
    <row r="1177" spans="7:7">
      <c r="G1177" t="str">
        <f t="shared" si="366"/>
        <v>_</v>
      </c>
    </row>
    <row r="1178" spans="7:7">
      <c r="G1178" t="str">
        <f t="shared" si="366"/>
        <v>_</v>
      </c>
    </row>
    <row r="1179" spans="7:7">
      <c r="G1179" t="str">
        <f t="shared" si="366"/>
        <v>_</v>
      </c>
    </row>
    <row r="1180" spans="7:7">
      <c r="G1180" t="str">
        <f t="shared" si="366"/>
        <v>_</v>
      </c>
    </row>
    <row r="1181" spans="7:7">
      <c r="G1181" t="str">
        <f t="shared" si="366"/>
        <v>_</v>
      </c>
    </row>
    <row r="1182" spans="7:7">
      <c r="G1182" t="str">
        <f t="shared" si="366"/>
        <v>_</v>
      </c>
    </row>
    <row r="1183" spans="7:7">
      <c r="G1183" t="str">
        <f t="shared" si="366"/>
        <v>_</v>
      </c>
    </row>
    <row r="1184" spans="7:7">
      <c r="G1184" t="str">
        <f t="shared" si="366"/>
        <v>_</v>
      </c>
    </row>
    <row r="1185" spans="7:7">
      <c r="G1185" t="str">
        <f t="shared" si="366"/>
        <v>_</v>
      </c>
    </row>
    <row r="1186" spans="7:7">
      <c r="G1186" t="str">
        <f t="shared" si="366"/>
        <v>_</v>
      </c>
    </row>
    <row r="1187" spans="7:7">
      <c r="G1187" t="str">
        <f t="shared" si="366"/>
        <v>_</v>
      </c>
    </row>
    <row r="1188" spans="7:7">
      <c r="G1188" t="str">
        <f t="shared" si="366"/>
        <v>_</v>
      </c>
    </row>
    <row r="1189" spans="7:7">
      <c r="G1189" t="str">
        <f t="shared" si="366"/>
        <v>_</v>
      </c>
    </row>
    <row r="1190" spans="7:7">
      <c r="G1190" t="str">
        <f t="shared" si="366"/>
        <v>_</v>
      </c>
    </row>
    <row r="1191" spans="7:7">
      <c r="G1191" t="str">
        <f t="shared" si="366"/>
        <v>_</v>
      </c>
    </row>
    <row r="1192" spans="7:7">
      <c r="G1192" t="str">
        <f t="shared" si="366"/>
        <v>_</v>
      </c>
    </row>
    <row r="1193" spans="7:7">
      <c r="G1193" t="str">
        <f t="shared" si="366"/>
        <v>_</v>
      </c>
    </row>
    <row r="1194" spans="7:7">
      <c r="G1194" t="str">
        <f t="shared" si="366"/>
        <v>_</v>
      </c>
    </row>
    <row r="1195" spans="7:7">
      <c r="G1195" t="str">
        <f t="shared" si="366"/>
        <v>_</v>
      </c>
    </row>
    <row r="1196" spans="7:7">
      <c r="G1196" t="str">
        <f t="shared" si="366"/>
        <v>_</v>
      </c>
    </row>
    <row r="1197" spans="7:7">
      <c r="G1197" t="str">
        <f t="shared" si="366"/>
        <v>_</v>
      </c>
    </row>
    <row r="1198" spans="7:7">
      <c r="G1198" t="str">
        <f t="shared" si="366"/>
        <v>_</v>
      </c>
    </row>
    <row r="1199" spans="7:7">
      <c r="G1199" t="str">
        <f t="shared" si="366"/>
        <v>_</v>
      </c>
    </row>
    <row r="1200" spans="7:7">
      <c r="G1200" t="str">
        <f t="shared" si="366"/>
        <v>_</v>
      </c>
    </row>
    <row r="1201" spans="7:7">
      <c r="G1201" t="str">
        <f t="shared" si="366"/>
        <v>_</v>
      </c>
    </row>
    <row r="1202" spans="7:7">
      <c r="G1202" t="str">
        <f t="shared" si="366"/>
        <v>_</v>
      </c>
    </row>
    <row r="1203" spans="7:7">
      <c r="G1203" t="str">
        <f t="shared" si="366"/>
        <v>_</v>
      </c>
    </row>
    <row r="1204" spans="7:7">
      <c r="G1204" t="str">
        <f t="shared" si="366"/>
        <v>_</v>
      </c>
    </row>
    <row r="1205" spans="7:7">
      <c r="G1205" t="str">
        <f t="shared" si="366"/>
        <v>_</v>
      </c>
    </row>
    <row r="1206" spans="7:7">
      <c r="G1206" t="str">
        <f t="shared" si="366"/>
        <v>_</v>
      </c>
    </row>
    <row r="1207" spans="7:7">
      <c r="G1207" t="str">
        <f t="shared" si="366"/>
        <v>_</v>
      </c>
    </row>
    <row r="1208" spans="7:7">
      <c r="G1208" t="str">
        <f t="shared" si="366"/>
        <v>_</v>
      </c>
    </row>
    <row r="1209" spans="7:7">
      <c r="G1209" t="str">
        <f t="shared" si="366"/>
        <v>_</v>
      </c>
    </row>
    <row r="1210" spans="7:7">
      <c r="G1210" t="str">
        <f t="shared" si="366"/>
        <v>_</v>
      </c>
    </row>
    <row r="1211" spans="7:7">
      <c r="G1211" t="str">
        <f t="shared" si="366"/>
        <v>_</v>
      </c>
    </row>
    <row r="1212" spans="7:7">
      <c r="G1212" t="str">
        <f t="shared" si="366"/>
        <v>_</v>
      </c>
    </row>
    <row r="1213" spans="7:7">
      <c r="G1213" t="str">
        <f t="shared" si="366"/>
        <v>_</v>
      </c>
    </row>
    <row r="1214" spans="7:7">
      <c r="G1214" t="str">
        <f t="shared" si="366"/>
        <v>_</v>
      </c>
    </row>
    <row r="1215" spans="7:7">
      <c r="G1215" t="str">
        <f t="shared" si="366"/>
        <v>_</v>
      </c>
    </row>
    <row r="1216" spans="7:7">
      <c r="G1216" t="str">
        <f t="shared" si="366"/>
        <v>_</v>
      </c>
    </row>
    <row r="1217" spans="7:7">
      <c r="G1217" t="str">
        <f t="shared" si="366"/>
        <v>_</v>
      </c>
    </row>
    <row r="1218" spans="7:7">
      <c r="G1218" t="str">
        <f t="shared" si="366"/>
        <v>_</v>
      </c>
    </row>
    <row r="1219" spans="7:7">
      <c r="G1219" t="str">
        <f t="shared" si="366"/>
        <v>_</v>
      </c>
    </row>
    <row r="1220" spans="7:7">
      <c r="G1220" t="str">
        <f t="shared" si="366"/>
        <v>_</v>
      </c>
    </row>
    <row r="1221" spans="7:7">
      <c r="G1221" t="str">
        <f t="shared" ref="G1221:G1284" si="367">A1221&amp;"_"&amp;D1221</f>
        <v>_</v>
      </c>
    </row>
    <row r="1222" spans="7:7">
      <c r="G1222" t="str">
        <f t="shared" si="367"/>
        <v>_</v>
      </c>
    </row>
    <row r="1223" spans="7:7">
      <c r="G1223" t="str">
        <f t="shared" si="367"/>
        <v>_</v>
      </c>
    </row>
    <row r="1224" spans="7:7">
      <c r="G1224" t="str">
        <f t="shared" si="367"/>
        <v>_</v>
      </c>
    </row>
    <row r="1225" spans="7:7">
      <c r="G1225" t="str">
        <f t="shared" si="367"/>
        <v>_</v>
      </c>
    </row>
    <row r="1226" spans="7:7">
      <c r="G1226" t="str">
        <f t="shared" si="367"/>
        <v>_</v>
      </c>
    </row>
    <row r="1227" spans="7:7">
      <c r="G1227" t="str">
        <f t="shared" si="367"/>
        <v>_</v>
      </c>
    </row>
    <row r="1228" spans="7:7">
      <c r="G1228" t="str">
        <f t="shared" si="367"/>
        <v>_</v>
      </c>
    </row>
    <row r="1229" spans="7:7">
      <c r="G1229" t="str">
        <f t="shared" si="367"/>
        <v>_</v>
      </c>
    </row>
    <row r="1230" spans="7:7">
      <c r="G1230" t="str">
        <f t="shared" si="367"/>
        <v>_</v>
      </c>
    </row>
    <row r="1231" spans="7:7">
      <c r="G1231" t="str">
        <f t="shared" si="367"/>
        <v>_</v>
      </c>
    </row>
    <row r="1232" spans="7:7">
      <c r="G1232" t="str">
        <f t="shared" si="367"/>
        <v>_</v>
      </c>
    </row>
    <row r="1233" spans="7:7">
      <c r="G1233" t="str">
        <f t="shared" si="367"/>
        <v>_</v>
      </c>
    </row>
    <row r="1234" spans="7:7">
      <c r="G1234" t="str">
        <f t="shared" si="367"/>
        <v>_</v>
      </c>
    </row>
    <row r="1235" spans="7:7">
      <c r="G1235" t="str">
        <f t="shared" si="367"/>
        <v>_</v>
      </c>
    </row>
    <row r="1236" spans="7:7">
      <c r="G1236" t="str">
        <f t="shared" si="367"/>
        <v>_</v>
      </c>
    </row>
    <row r="1237" spans="7:7">
      <c r="G1237" t="str">
        <f t="shared" si="367"/>
        <v>_</v>
      </c>
    </row>
    <row r="1238" spans="7:7">
      <c r="G1238" t="str">
        <f t="shared" si="367"/>
        <v>_</v>
      </c>
    </row>
    <row r="1239" spans="7:7">
      <c r="G1239" t="str">
        <f t="shared" si="367"/>
        <v>_</v>
      </c>
    </row>
    <row r="1240" spans="7:7">
      <c r="G1240" t="str">
        <f t="shared" si="367"/>
        <v>_</v>
      </c>
    </row>
    <row r="1241" spans="7:7">
      <c r="G1241" t="str">
        <f t="shared" si="367"/>
        <v>_</v>
      </c>
    </row>
    <row r="1242" spans="7:7">
      <c r="G1242" t="str">
        <f t="shared" si="367"/>
        <v>_</v>
      </c>
    </row>
    <row r="1243" spans="7:7">
      <c r="G1243" t="str">
        <f t="shared" si="367"/>
        <v>_</v>
      </c>
    </row>
    <row r="1244" spans="7:7">
      <c r="G1244" t="str">
        <f t="shared" si="367"/>
        <v>_</v>
      </c>
    </row>
    <row r="1245" spans="7:7">
      <c r="G1245" t="str">
        <f t="shared" si="367"/>
        <v>_</v>
      </c>
    </row>
    <row r="1246" spans="7:7">
      <c r="G1246" t="str">
        <f t="shared" si="367"/>
        <v>_</v>
      </c>
    </row>
    <row r="1247" spans="7:7">
      <c r="G1247" t="str">
        <f t="shared" si="367"/>
        <v>_</v>
      </c>
    </row>
    <row r="1248" spans="7:7">
      <c r="G1248" t="str">
        <f t="shared" si="367"/>
        <v>_</v>
      </c>
    </row>
    <row r="1249" spans="7:7">
      <c r="G1249" t="str">
        <f t="shared" si="367"/>
        <v>_</v>
      </c>
    </row>
    <row r="1250" spans="7:7">
      <c r="G1250" t="str">
        <f t="shared" si="367"/>
        <v>_</v>
      </c>
    </row>
    <row r="1251" spans="7:7">
      <c r="G1251" t="str">
        <f t="shared" si="367"/>
        <v>_</v>
      </c>
    </row>
    <row r="1252" spans="7:7">
      <c r="G1252" t="str">
        <f t="shared" si="367"/>
        <v>_</v>
      </c>
    </row>
    <row r="1253" spans="7:7">
      <c r="G1253" t="str">
        <f t="shared" si="367"/>
        <v>_</v>
      </c>
    </row>
    <row r="1254" spans="7:7">
      <c r="G1254" t="str">
        <f t="shared" si="367"/>
        <v>_</v>
      </c>
    </row>
    <row r="1255" spans="7:7">
      <c r="G1255" t="str">
        <f t="shared" si="367"/>
        <v>_</v>
      </c>
    </row>
    <row r="1256" spans="7:7">
      <c r="G1256" t="str">
        <f t="shared" si="367"/>
        <v>_</v>
      </c>
    </row>
    <row r="1257" spans="7:7">
      <c r="G1257" t="str">
        <f t="shared" si="367"/>
        <v>_</v>
      </c>
    </row>
    <row r="1258" spans="7:7">
      <c r="G1258" t="str">
        <f t="shared" si="367"/>
        <v>_</v>
      </c>
    </row>
    <row r="1259" spans="7:7">
      <c r="G1259" t="str">
        <f t="shared" si="367"/>
        <v>_</v>
      </c>
    </row>
    <row r="1260" spans="7:7">
      <c r="G1260" t="str">
        <f t="shared" si="367"/>
        <v>_</v>
      </c>
    </row>
    <row r="1261" spans="7:7">
      <c r="G1261" t="str">
        <f t="shared" si="367"/>
        <v>_</v>
      </c>
    </row>
    <row r="1262" spans="7:7">
      <c r="G1262" t="str">
        <f t="shared" si="367"/>
        <v>_</v>
      </c>
    </row>
    <row r="1263" spans="7:7">
      <c r="G1263" t="str">
        <f t="shared" si="367"/>
        <v>_</v>
      </c>
    </row>
    <row r="1264" spans="7:7">
      <c r="G1264" t="str">
        <f t="shared" si="367"/>
        <v>_</v>
      </c>
    </row>
    <row r="1265" spans="7:7">
      <c r="G1265" t="str">
        <f t="shared" si="367"/>
        <v>_</v>
      </c>
    </row>
    <row r="1266" spans="7:7">
      <c r="G1266" t="str">
        <f t="shared" si="367"/>
        <v>_</v>
      </c>
    </row>
    <row r="1267" spans="7:7">
      <c r="G1267" t="str">
        <f t="shared" si="367"/>
        <v>_</v>
      </c>
    </row>
    <row r="1268" spans="7:7">
      <c r="G1268" t="str">
        <f t="shared" si="367"/>
        <v>_</v>
      </c>
    </row>
    <row r="1269" spans="7:7">
      <c r="G1269" t="str">
        <f t="shared" si="367"/>
        <v>_</v>
      </c>
    </row>
    <row r="1270" spans="7:7">
      <c r="G1270" t="str">
        <f t="shared" si="367"/>
        <v>_</v>
      </c>
    </row>
    <row r="1271" spans="7:7">
      <c r="G1271" t="str">
        <f t="shared" si="367"/>
        <v>_</v>
      </c>
    </row>
    <row r="1272" spans="7:7">
      <c r="G1272" t="str">
        <f t="shared" si="367"/>
        <v>_</v>
      </c>
    </row>
    <row r="1273" spans="7:7">
      <c r="G1273" t="str">
        <f t="shared" si="367"/>
        <v>_</v>
      </c>
    </row>
    <row r="1274" spans="7:7">
      <c r="G1274" t="str">
        <f t="shared" si="367"/>
        <v>_</v>
      </c>
    </row>
    <row r="1275" spans="7:7">
      <c r="G1275" t="str">
        <f t="shared" si="367"/>
        <v>_</v>
      </c>
    </row>
    <row r="1276" spans="7:7">
      <c r="G1276" t="str">
        <f t="shared" si="367"/>
        <v>_</v>
      </c>
    </row>
    <row r="1277" spans="7:7">
      <c r="G1277" t="str">
        <f t="shared" si="367"/>
        <v>_</v>
      </c>
    </row>
    <row r="1278" spans="7:7">
      <c r="G1278" t="str">
        <f t="shared" si="367"/>
        <v>_</v>
      </c>
    </row>
    <row r="1279" spans="7:7">
      <c r="G1279" t="str">
        <f t="shared" si="367"/>
        <v>_</v>
      </c>
    </row>
    <row r="1280" spans="7:7">
      <c r="G1280" t="str">
        <f t="shared" si="367"/>
        <v>_</v>
      </c>
    </row>
    <row r="1281" spans="7:7">
      <c r="G1281" t="str">
        <f t="shared" si="367"/>
        <v>_</v>
      </c>
    </row>
    <row r="1282" spans="7:7">
      <c r="G1282" t="str">
        <f t="shared" si="367"/>
        <v>_</v>
      </c>
    </row>
    <row r="1283" spans="7:7">
      <c r="G1283" t="str">
        <f t="shared" si="367"/>
        <v>_</v>
      </c>
    </row>
    <row r="1284" spans="7:7">
      <c r="G1284" t="str">
        <f t="shared" si="367"/>
        <v>_</v>
      </c>
    </row>
    <row r="1285" spans="7:7">
      <c r="G1285" t="str">
        <f t="shared" ref="G1285:G1328" si="368">A1285&amp;"_"&amp;D1285</f>
        <v>_</v>
      </c>
    </row>
    <row r="1286" spans="7:7">
      <c r="G1286" t="str">
        <f t="shared" si="368"/>
        <v>_</v>
      </c>
    </row>
    <row r="1287" spans="7:7">
      <c r="G1287" t="str">
        <f t="shared" si="368"/>
        <v>_</v>
      </c>
    </row>
    <row r="1288" spans="7:7">
      <c r="G1288" t="str">
        <f t="shared" si="368"/>
        <v>_</v>
      </c>
    </row>
    <row r="1289" spans="7:7">
      <c r="G1289" t="str">
        <f t="shared" si="368"/>
        <v>_</v>
      </c>
    </row>
    <row r="1290" spans="7:7">
      <c r="G1290" t="str">
        <f t="shared" si="368"/>
        <v>_</v>
      </c>
    </row>
    <row r="1291" spans="7:7">
      <c r="G1291" t="str">
        <f t="shared" si="368"/>
        <v>_</v>
      </c>
    </row>
    <row r="1292" spans="7:7">
      <c r="G1292" t="str">
        <f t="shared" si="368"/>
        <v>_</v>
      </c>
    </row>
    <row r="1293" spans="7:7">
      <c r="G1293" t="str">
        <f t="shared" si="368"/>
        <v>_</v>
      </c>
    </row>
    <row r="1294" spans="7:7">
      <c r="G1294" t="str">
        <f t="shared" si="368"/>
        <v>_</v>
      </c>
    </row>
    <row r="1295" spans="7:7">
      <c r="G1295" t="str">
        <f t="shared" si="368"/>
        <v>_</v>
      </c>
    </row>
    <row r="1296" spans="7:7">
      <c r="G1296" t="str">
        <f t="shared" si="368"/>
        <v>_</v>
      </c>
    </row>
    <row r="1297" spans="7:7">
      <c r="G1297" t="str">
        <f t="shared" si="368"/>
        <v>_</v>
      </c>
    </row>
    <row r="1298" spans="7:7">
      <c r="G1298" t="str">
        <f t="shared" si="368"/>
        <v>_</v>
      </c>
    </row>
    <row r="1299" spans="7:7">
      <c r="G1299" t="str">
        <f t="shared" si="368"/>
        <v>_</v>
      </c>
    </row>
    <row r="1300" spans="7:7">
      <c r="G1300" t="str">
        <f t="shared" si="368"/>
        <v>_</v>
      </c>
    </row>
    <row r="1301" spans="7:7">
      <c r="G1301" t="str">
        <f t="shared" si="368"/>
        <v>_</v>
      </c>
    </row>
    <row r="1302" spans="7:7">
      <c r="G1302" t="str">
        <f t="shared" si="368"/>
        <v>_</v>
      </c>
    </row>
    <row r="1303" spans="7:7">
      <c r="G1303" t="str">
        <f t="shared" si="368"/>
        <v>_</v>
      </c>
    </row>
    <row r="1304" spans="7:7">
      <c r="G1304" t="str">
        <f t="shared" si="368"/>
        <v>_</v>
      </c>
    </row>
    <row r="1305" spans="7:7">
      <c r="G1305" t="str">
        <f t="shared" si="368"/>
        <v>_</v>
      </c>
    </row>
    <row r="1306" spans="7:7">
      <c r="G1306" t="str">
        <f t="shared" si="368"/>
        <v>_</v>
      </c>
    </row>
    <row r="1307" spans="7:7">
      <c r="G1307" t="str">
        <f t="shared" si="368"/>
        <v>_</v>
      </c>
    </row>
    <row r="1308" spans="7:7">
      <c r="G1308" t="str">
        <f t="shared" si="368"/>
        <v>_</v>
      </c>
    </row>
    <row r="1309" spans="7:7">
      <c r="G1309" t="str">
        <f t="shared" si="368"/>
        <v>_</v>
      </c>
    </row>
    <row r="1310" spans="7:7">
      <c r="G1310" t="str">
        <f t="shared" si="368"/>
        <v>_</v>
      </c>
    </row>
    <row r="1311" spans="7:7">
      <c r="G1311" t="str">
        <f t="shared" si="368"/>
        <v>_</v>
      </c>
    </row>
    <row r="1312" spans="7:7">
      <c r="G1312" t="str">
        <f t="shared" si="368"/>
        <v>_</v>
      </c>
    </row>
    <row r="1313" spans="7:7">
      <c r="G1313" t="str">
        <f t="shared" si="368"/>
        <v>_</v>
      </c>
    </row>
    <row r="1314" spans="7:7">
      <c r="G1314" t="str">
        <f t="shared" si="368"/>
        <v>_</v>
      </c>
    </row>
    <row r="1315" spans="7:7">
      <c r="G1315" t="str">
        <f t="shared" si="368"/>
        <v>_</v>
      </c>
    </row>
    <row r="1316" spans="7:7">
      <c r="G1316" t="str">
        <f t="shared" si="368"/>
        <v>_</v>
      </c>
    </row>
    <row r="1317" spans="7:7">
      <c r="G1317" t="str">
        <f t="shared" si="368"/>
        <v>_</v>
      </c>
    </row>
    <row r="1318" spans="7:7">
      <c r="G1318" t="str">
        <f t="shared" si="368"/>
        <v>_</v>
      </c>
    </row>
    <row r="1319" spans="7:7">
      <c r="G1319" t="str">
        <f t="shared" si="368"/>
        <v>_</v>
      </c>
    </row>
    <row r="1320" spans="7:7">
      <c r="G1320" t="str">
        <f t="shared" si="368"/>
        <v>_</v>
      </c>
    </row>
    <row r="1321" spans="7:7">
      <c r="G1321" t="str">
        <f t="shared" si="368"/>
        <v>_</v>
      </c>
    </row>
    <row r="1322" spans="7:7">
      <c r="G1322" t="str">
        <f t="shared" si="368"/>
        <v>_</v>
      </c>
    </row>
    <row r="1323" spans="7:7">
      <c r="G1323" t="str">
        <f t="shared" si="368"/>
        <v>_</v>
      </c>
    </row>
    <row r="1324" spans="7:7">
      <c r="G1324" t="str">
        <f t="shared" si="368"/>
        <v>_</v>
      </c>
    </row>
    <row r="1325" spans="7:7">
      <c r="G1325" t="str">
        <f t="shared" si="368"/>
        <v>_</v>
      </c>
    </row>
    <row r="1326" spans="7:7">
      <c r="G1326" t="str">
        <f t="shared" si="368"/>
        <v>_</v>
      </c>
    </row>
    <row r="1327" spans="7:7">
      <c r="G1327" t="str">
        <f t="shared" si="368"/>
        <v>_</v>
      </c>
    </row>
    <row r="1328" spans="7:7">
      <c r="G1328" t="str">
        <f t="shared" si="368"/>
        <v>_</v>
      </c>
    </row>
  </sheetData>
  <sortState xmlns:xlrd2="http://schemas.microsoft.com/office/spreadsheetml/2017/richdata2" ref="J74:P142">
    <sortCondition ref="J74:J142"/>
  </sortState>
  <phoneticPr fontId="11" type="noConversion"/>
  <pageMargins left="0.7" right="0.7" top="0.75" bottom="0.75" header="0.3" footer="0.3"/>
  <pageSetup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92587BF-0AA6-D74A-A4AA-636C00B1F1FB}">
          <x14:formula1>
            <xm:f>KEY!$D$6:$D$72</xm:f>
          </x14:formula1>
          <xm:sqref>J3:J72 J74:J143 J500:J569 J145:J214 J287:J356 J358:J427 J429:J498 J216:J285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422C5-22DE-6B47-B13D-9D74AFE2AF07}">
  <sheetPr>
    <tabColor rgb="FF7030A0"/>
  </sheetPr>
  <dimension ref="A1:AF149"/>
  <sheetViews>
    <sheetView topLeftCell="A5" workbookViewId="0">
      <selection activeCell="D1" sqref="D1:G1"/>
    </sheetView>
  </sheetViews>
  <sheetFormatPr defaultColWidth="9.125" defaultRowHeight="15"/>
  <cols>
    <col min="1" max="1" width="12.375" style="6" customWidth="1"/>
    <col min="2" max="2" width="18.875" style="6" customWidth="1"/>
    <col min="3" max="3" width="14.125" style="6" customWidth="1"/>
    <col min="4" max="4" width="20.875" style="6" customWidth="1"/>
    <col min="5" max="5" width="12.375" style="6" bestFit="1" customWidth="1"/>
    <col min="6" max="6" width="15.875" style="6" bestFit="1" customWidth="1"/>
    <col min="7" max="7" width="13.375" style="6" customWidth="1"/>
    <col min="8" max="9" width="9.125" style="6" customWidth="1"/>
    <col min="10" max="10" width="9.125" style="6"/>
    <col min="11" max="11" width="21.5" style="7" bestFit="1" customWidth="1"/>
    <col min="12" max="26" width="9.125" style="7"/>
    <col min="27" max="28" width="0" style="7" hidden="1" customWidth="1"/>
    <col min="29" max="16384" width="9.125" style="8"/>
  </cols>
  <sheetData>
    <row r="1" spans="1:32">
      <c r="D1" s="5" t="s">
        <v>535</v>
      </c>
      <c r="E1" s="5" t="s">
        <v>20</v>
      </c>
      <c r="AA1" s="7" t="s">
        <v>10</v>
      </c>
      <c r="AB1" s="7" t="s">
        <v>35</v>
      </c>
    </row>
    <row r="2" spans="1:32" ht="15" customHeight="1">
      <c r="A2" s="9"/>
      <c r="B2" s="9"/>
      <c r="C2" s="9"/>
      <c r="D2" s="25" t="s">
        <v>473</v>
      </c>
      <c r="E2" s="163">
        <v>2</v>
      </c>
      <c r="AA2" s="7" t="s">
        <v>16</v>
      </c>
      <c r="AB2" s="7" t="s">
        <v>60</v>
      </c>
    </row>
    <row r="3" spans="1:32" ht="15" customHeight="1">
      <c r="D3" s="70"/>
      <c r="E3" s="25"/>
      <c r="F3" s="25"/>
      <c r="AB3" s="7" t="s">
        <v>66</v>
      </c>
    </row>
    <row r="4" spans="1:32" ht="15" customHeight="1">
      <c r="AB4" s="7" t="s">
        <v>72</v>
      </c>
    </row>
    <row r="5" spans="1:32" ht="15" customHeight="1">
      <c r="A5" s="10"/>
      <c r="B5" s="10"/>
      <c r="C5" s="10"/>
      <c r="D5" s="10" t="s">
        <v>34</v>
      </c>
      <c r="E5" s="10" t="s">
        <v>536</v>
      </c>
      <c r="F5" s="10" t="s">
        <v>22</v>
      </c>
      <c r="G5" s="10"/>
      <c r="H5" s="10"/>
      <c r="I5" s="10"/>
      <c r="J5" s="11" t="s">
        <v>537</v>
      </c>
      <c r="K5" s="11" t="s">
        <v>538</v>
      </c>
      <c r="L5" s="11" t="s">
        <v>539</v>
      </c>
      <c r="M5" s="11" t="s">
        <v>540</v>
      </c>
      <c r="N5" s="11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7" t="s">
        <v>74</v>
      </c>
    </row>
    <row r="6" spans="1:32" ht="15" customHeight="1">
      <c r="A6" s="31">
        <f t="shared" ref="A6:A70" si="0">A5+1</f>
        <v>1</v>
      </c>
      <c r="B6" s="6" t="str">
        <f>F6&amp;"_"&amp;COUNTIFS($F$6:F6,F6)</f>
        <v>Arizona_1</v>
      </c>
      <c r="C6" s="6" t="str">
        <f>E6&amp;"_"&amp;COUNTIFS($E$6:E6,E6)</f>
        <v>Acura_1</v>
      </c>
      <c r="D6" s="6" t="s">
        <v>35</v>
      </c>
      <c r="E6" s="6" t="s">
        <v>29</v>
      </c>
      <c r="F6" s="6" t="s">
        <v>10</v>
      </c>
      <c r="H6" s="6">
        <v>1</v>
      </c>
      <c r="I6" s="6" t="str">
        <f>"WEST"&amp;"_"&amp;H6</f>
        <v>WEST_1</v>
      </c>
      <c r="J6" s="12" t="s">
        <v>541</v>
      </c>
      <c r="K6" s="14" t="s">
        <v>542</v>
      </c>
      <c r="L6" s="13">
        <v>0</v>
      </c>
      <c r="M6" s="13">
        <f>SUM(M7:M15)</f>
        <v>65</v>
      </c>
      <c r="N6" s="13"/>
      <c r="Q6" s="7" t="str">
        <f>IF(D6="","",D6)</f>
        <v>Acura North Scottsdale</v>
      </c>
      <c r="AB6" s="7" t="s">
        <v>76</v>
      </c>
    </row>
    <row r="7" spans="1:32" ht="15" customHeight="1">
      <c r="A7" s="31">
        <f t="shared" si="0"/>
        <v>2</v>
      </c>
      <c r="B7" s="6" t="str">
        <f>F7&amp;"_"&amp;COUNTIFS($F$6:F7,F7)</f>
        <v>Southern California_1</v>
      </c>
      <c r="C7" s="6" t="str">
        <f>E7&amp;"_"&amp;COUNTIFS($E$6:E7,E7)</f>
        <v>Acura_2</v>
      </c>
      <c r="D7" s="6" t="s">
        <v>58</v>
      </c>
      <c r="E7" s="6" t="s">
        <v>29</v>
      </c>
      <c r="F7" s="6" t="s">
        <v>15</v>
      </c>
      <c r="H7" s="6">
        <v>2</v>
      </c>
      <c r="I7" s="6" t="str">
        <f t="shared" ref="I7:I10" si="1">"WEST"&amp;"_"&amp;H7</f>
        <v>WEST_2</v>
      </c>
      <c r="J7" s="12" t="s">
        <v>543</v>
      </c>
      <c r="K7" s="14" t="s">
        <v>10</v>
      </c>
      <c r="L7" s="13">
        <v>1</v>
      </c>
      <c r="M7" s="13">
        <f t="shared" ref="M7:M14" si="2">COUNTIF($F$6:$F$76,K7)</f>
        <v>18</v>
      </c>
      <c r="N7" s="13"/>
      <c r="Q7" s="7" t="str">
        <f t="shared" ref="Q7:Q14" si="3">IF(D7="","",D7)</f>
        <v>Acura of Escondido</v>
      </c>
      <c r="U7" s="16"/>
      <c r="V7" s="16"/>
      <c r="AB7" s="7" t="s">
        <v>100</v>
      </c>
    </row>
    <row r="8" spans="1:32" ht="15" customHeight="1">
      <c r="A8" s="31">
        <f t="shared" si="0"/>
        <v>3</v>
      </c>
      <c r="B8" s="6" t="str">
        <f>F8&amp;"_"&amp;COUNTIFS($F$6:F8,F8)</f>
        <v>Arizona_2</v>
      </c>
      <c r="C8" s="6" t="str">
        <f>E8&amp;"_"&amp;COUNTIFS($E$6:E8,E8)</f>
        <v>Audi_1</v>
      </c>
      <c r="D8" s="6" t="s">
        <v>60</v>
      </c>
      <c r="E8" s="6" t="s">
        <v>544</v>
      </c>
      <c r="F8" s="6" t="s">
        <v>10</v>
      </c>
      <c r="H8" s="6">
        <v>3</v>
      </c>
      <c r="I8" s="6" t="str">
        <f t="shared" si="1"/>
        <v>WEST_3</v>
      </c>
      <c r="J8" s="12" t="s">
        <v>545</v>
      </c>
      <c r="K8" s="14" t="s">
        <v>11</v>
      </c>
      <c r="L8" s="13">
        <v>1</v>
      </c>
      <c r="M8" s="13">
        <f t="shared" si="2"/>
        <v>2</v>
      </c>
      <c r="N8" s="13"/>
      <c r="P8" s="16"/>
      <c r="Q8" s="7" t="str">
        <f t="shared" si="3"/>
        <v>Audi Chandler</v>
      </c>
      <c r="R8" s="16"/>
      <c r="T8" s="16"/>
      <c r="W8" s="16"/>
      <c r="AB8" s="7" t="s">
        <v>108</v>
      </c>
    </row>
    <row r="9" spans="1:32" ht="15" customHeight="1">
      <c r="A9" s="31">
        <f t="shared" si="0"/>
        <v>4</v>
      </c>
      <c r="B9" s="6" t="str">
        <f>F9&amp;"_"&amp;COUNTIFS($F$6:F9,F9)</f>
        <v>Southern California_2</v>
      </c>
      <c r="C9" s="6" t="str">
        <f>E9&amp;"_"&amp;COUNTIFS($E$6:E9,E9)</f>
        <v>Audi_2</v>
      </c>
      <c r="D9" s="6" t="s">
        <v>62</v>
      </c>
      <c r="E9" s="18" t="s">
        <v>544</v>
      </c>
      <c r="F9" s="18" t="s">
        <v>15</v>
      </c>
      <c r="H9" s="6">
        <v>4</v>
      </c>
      <c r="I9" s="6" t="str">
        <f t="shared" si="1"/>
        <v>WEST_4</v>
      </c>
      <c r="J9" s="12" t="s">
        <v>546</v>
      </c>
      <c r="K9" s="14" t="s">
        <v>12</v>
      </c>
      <c r="L9" s="13">
        <v>1</v>
      </c>
      <c r="M9" s="13">
        <f t="shared" si="2"/>
        <v>3</v>
      </c>
      <c r="N9" s="13"/>
      <c r="Q9" s="7" t="str">
        <f t="shared" si="3"/>
        <v>Audi Escondido</v>
      </c>
      <c r="AB9" s="7" t="s">
        <v>547</v>
      </c>
    </row>
    <row r="10" spans="1:32" ht="15" customHeight="1">
      <c r="A10" s="31">
        <f t="shared" si="0"/>
        <v>5</v>
      </c>
      <c r="B10" s="6" t="str">
        <f>F10&amp;"_"&amp;COUNTIFS($F$6:F10,F10)</f>
        <v>Orange County_1</v>
      </c>
      <c r="C10" s="6" t="str">
        <f>E10&amp;"_"&amp;COUNTIFS($E$6:E10,E10)</f>
        <v>Audi_3</v>
      </c>
      <c r="D10" s="6" t="s">
        <v>64</v>
      </c>
      <c r="E10" s="18" t="s">
        <v>544</v>
      </c>
      <c r="F10" s="18" t="s">
        <v>14</v>
      </c>
      <c r="H10" s="6">
        <v>5</v>
      </c>
      <c r="I10" s="6" t="str">
        <f t="shared" si="1"/>
        <v>WEST_5</v>
      </c>
      <c r="J10" s="12" t="s">
        <v>548</v>
      </c>
      <c r="K10" s="14" t="s">
        <v>13</v>
      </c>
      <c r="L10" s="15">
        <v>1</v>
      </c>
      <c r="M10" s="13">
        <f t="shared" si="2"/>
        <v>8</v>
      </c>
      <c r="N10" s="13"/>
      <c r="Q10" s="7" t="str">
        <f t="shared" si="3"/>
        <v>Audi North OC</v>
      </c>
      <c r="AB10" s="7" t="s">
        <v>549</v>
      </c>
    </row>
    <row r="11" spans="1:32" s="17" customFormat="1" ht="15" customHeight="1">
      <c r="A11" s="31">
        <f t="shared" si="0"/>
        <v>6</v>
      </c>
      <c r="B11" s="6" t="str">
        <f>F11&amp;"_"&amp;COUNTIFS($F$6:F11,F11)</f>
        <v>Arizona_3</v>
      </c>
      <c r="C11" s="6" t="str">
        <f>E11&amp;"_"&amp;COUNTIFS($E$6:E11,E11)</f>
        <v>Audi_4</v>
      </c>
      <c r="D11" s="6" t="s">
        <v>66</v>
      </c>
      <c r="E11" s="6" t="s">
        <v>544</v>
      </c>
      <c r="F11" s="6" t="s">
        <v>10</v>
      </c>
      <c r="H11" s="6"/>
      <c r="I11" s="6"/>
      <c r="J11" s="12" t="s">
        <v>550</v>
      </c>
      <c r="K11" s="14" t="s">
        <v>14</v>
      </c>
      <c r="L11" s="13">
        <v>1</v>
      </c>
      <c r="M11" s="13">
        <f t="shared" si="2"/>
        <v>9</v>
      </c>
      <c r="N11" s="15"/>
      <c r="O11" s="7"/>
      <c r="P11" s="7"/>
      <c r="Q11" s="7" t="str">
        <f t="shared" si="3"/>
        <v>Audi North Scottsdale</v>
      </c>
      <c r="R11" s="7"/>
      <c r="S11" s="7"/>
      <c r="T11" s="7"/>
      <c r="U11" s="7"/>
      <c r="V11" s="7"/>
      <c r="W11" s="7"/>
      <c r="X11" s="16"/>
      <c r="Y11" s="16"/>
      <c r="Z11" s="16"/>
      <c r="AA11" s="16"/>
      <c r="AB11" s="16" t="s">
        <v>120</v>
      </c>
      <c r="AC11" s="8"/>
      <c r="AD11" s="8"/>
      <c r="AE11" s="8"/>
      <c r="AF11" s="8"/>
    </row>
    <row r="12" spans="1:32" ht="15" customHeight="1">
      <c r="A12" s="31">
        <f t="shared" si="0"/>
        <v>7</v>
      </c>
      <c r="B12" s="6" t="str">
        <f>F12&amp;"_"&amp;COUNTIFS($F$6:F12,F12)</f>
        <v>Northern California_1</v>
      </c>
      <c r="C12" s="6" t="str">
        <f>E12&amp;"_"&amp;COUNTIFS($E$6:E12,E12)</f>
        <v>Audi_5</v>
      </c>
      <c r="D12" s="6" t="s">
        <v>68</v>
      </c>
      <c r="E12" s="6" t="s">
        <v>544</v>
      </c>
      <c r="F12" s="6" t="s">
        <v>13</v>
      </c>
      <c r="J12" s="12" t="s">
        <v>551</v>
      </c>
      <c r="K12" s="14" t="s">
        <v>15</v>
      </c>
      <c r="L12" s="13">
        <v>1</v>
      </c>
      <c r="M12" s="13">
        <f t="shared" si="2"/>
        <v>10</v>
      </c>
      <c r="N12" s="13"/>
      <c r="Q12" s="7" t="str">
        <f t="shared" si="3"/>
        <v>Audi San Jose</v>
      </c>
      <c r="AB12" s="7" t="s">
        <v>122</v>
      </c>
    </row>
    <row r="13" spans="1:32" ht="15" customHeight="1">
      <c r="A13" s="31">
        <f t="shared" si="0"/>
        <v>8</v>
      </c>
      <c r="B13" s="6" t="str">
        <f>F13&amp;"_"&amp;COUNTIFS($F$6:F13,F13)</f>
        <v>Orange County_2</v>
      </c>
      <c r="C13" s="6" t="str">
        <f>E13&amp;"_"&amp;COUNTIFS($E$6:E13,E13)</f>
        <v>Audi_6</v>
      </c>
      <c r="D13" s="6" t="s">
        <v>70</v>
      </c>
      <c r="E13" s="6" t="s">
        <v>544</v>
      </c>
      <c r="F13" s="6" t="s">
        <v>14</v>
      </c>
      <c r="J13" s="12" t="s">
        <v>552</v>
      </c>
      <c r="K13" s="14" t="s">
        <v>16</v>
      </c>
      <c r="L13" s="13">
        <v>1</v>
      </c>
      <c r="M13" s="13">
        <f t="shared" si="2"/>
        <v>11</v>
      </c>
      <c r="N13" s="13"/>
      <c r="Q13" s="7" t="str">
        <f t="shared" si="3"/>
        <v>Audi South Coast</v>
      </c>
      <c r="AB13" s="7" t="s">
        <v>124</v>
      </c>
    </row>
    <row r="14" spans="1:32" ht="15" customHeight="1">
      <c r="A14" s="31">
        <f t="shared" si="0"/>
        <v>9</v>
      </c>
      <c r="B14" s="6" t="str">
        <f>F14&amp;"_"&amp;COUNTIFS($F$6:F14,F14)</f>
        <v>Arizona_4</v>
      </c>
      <c r="C14" s="6" t="str">
        <f>E14&amp;"_"&amp;COUNTIFS($E$6:E14,E14)</f>
        <v>Ultra_1</v>
      </c>
      <c r="D14" s="6" t="s">
        <v>72</v>
      </c>
      <c r="E14" s="6" t="s">
        <v>553</v>
      </c>
      <c r="F14" s="6" t="s">
        <v>10</v>
      </c>
      <c r="J14" s="12" t="s">
        <v>554</v>
      </c>
      <c r="K14" s="12" t="s">
        <v>17</v>
      </c>
      <c r="L14" s="13">
        <v>1</v>
      </c>
      <c r="M14" s="13">
        <f t="shared" si="2"/>
        <v>1</v>
      </c>
      <c r="N14" s="13"/>
      <c r="Q14" s="7" t="str">
        <f t="shared" si="3"/>
        <v>Bentley Scottsdale</v>
      </c>
      <c r="AB14" s="7" t="s">
        <v>132</v>
      </c>
    </row>
    <row r="15" spans="1:32" ht="15" customHeight="1">
      <c r="A15" s="31">
        <f t="shared" si="0"/>
        <v>10</v>
      </c>
      <c r="B15" s="6" t="str">
        <f>F15&amp;"_"&amp;COUNTIFS($F$6:F15,F15)</f>
        <v>_0</v>
      </c>
      <c r="C15" s="6" t="str">
        <f>E15&amp;"_"&amp;COUNTIFS($E$6:E15,E15)</f>
        <v>Ford_1</v>
      </c>
      <c r="D15" s="6" t="s">
        <v>555</v>
      </c>
      <c r="E15" s="6" t="s">
        <v>556</v>
      </c>
      <c r="F15" s="14"/>
      <c r="J15" s="12" t="s">
        <v>29</v>
      </c>
      <c r="K15" s="14" t="s">
        <v>29</v>
      </c>
      <c r="L15" s="13">
        <v>2</v>
      </c>
      <c r="M15" s="13">
        <f t="shared" ref="M15:M32" si="4">COUNTIF($E$6:$E$76,K15)</f>
        <v>3</v>
      </c>
      <c r="N15" s="13"/>
      <c r="Q15" s="7" t="str">
        <f t="shared" ref="Q15:Q46" si="5">IF(D16="","",D16)</f>
        <v>BMW North Scottsdale</v>
      </c>
      <c r="AB15" s="7" t="s">
        <v>134</v>
      </c>
    </row>
    <row r="16" spans="1:32" ht="15" customHeight="1">
      <c r="A16" s="31">
        <f t="shared" si="0"/>
        <v>11</v>
      </c>
      <c r="B16" s="6" t="str">
        <f>F16&amp;"_"&amp;COUNTIFS($F$6:F16,F16)</f>
        <v>Arizona_5</v>
      </c>
      <c r="C16" s="6" t="str">
        <f>E16&amp;"_"&amp;COUNTIFS($E$6:E16,E16)</f>
        <v>BMW_1</v>
      </c>
      <c r="D16" s="6" t="s">
        <v>74</v>
      </c>
      <c r="E16" s="6" t="s">
        <v>557</v>
      </c>
      <c r="F16" s="6" t="s">
        <v>10</v>
      </c>
      <c r="J16" s="12" t="s">
        <v>544</v>
      </c>
      <c r="K16" s="14" t="s">
        <v>544</v>
      </c>
      <c r="L16" s="13">
        <v>2</v>
      </c>
      <c r="M16" s="13">
        <f t="shared" si="4"/>
        <v>6</v>
      </c>
      <c r="N16" s="13"/>
      <c r="P16" s="20"/>
      <c r="Q16" s="7" t="str">
        <f t="shared" si="5"/>
        <v>BMW of Austin</v>
      </c>
      <c r="R16" s="20"/>
      <c r="T16" s="20"/>
      <c r="AB16" s="7" t="s">
        <v>138</v>
      </c>
    </row>
    <row r="17" spans="1:32" ht="15" customHeight="1">
      <c r="A17" s="31">
        <f t="shared" si="0"/>
        <v>12</v>
      </c>
      <c r="B17" s="6" t="str">
        <f>F17&amp;"_"&amp;COUNTIFS($F$6:F17,F17)</f>
        <v>Texas_1</v>
      </c>
      <c r="C17" s="6" t="str">
        <f>E17&amp;"_"&amp;COUNTIFS($E$6:E17,E17)</f>
        <v>BMW_2</v>
      </c>
      <c r="D17" s="6" t="s">
        <v>76</v>
      </c>
      <c r="E17" s="6" t="s">
        <v>557</v>
      </c>
      <c r="F17" s="6" t="s">
        <v>16</v>
      </c>
      <c r="J17" s="12" t="s">
        <v>557</v>
      </c>
      <c r="K17" s="14" t="s">
        <v>557</v>
      </c>
      <c r="L17" s="13">
        <v>2</v>
      </c>
      <c r="M17" s="13">
        <f t="shared" si="4"/>
        <v>9</v>
      </c>
      <c r="N17" s="13"/>
      <c r="Q17" s="7" t="str">
        <f t="shared" si="5"/>
        <v>BMW of Bloomfield Hills</v>
      </c>
      <c r="AB17" s="7" t="s">
        <v>140</v>
      </c>
    </row>
    <row r="18" spans="1:32" ht="15" customHeight="1">
      <c r="A18" s="31">
        <f t="shared" si="0"/>
        <v>13</v>
      </c>
      <c r="B18" s="6" t="str">
        <f>F18&amp;"_"&amp;COUNTIFS($F$6:F18,F18)</f>
        <v>Michigan &amp; Minnesota_1</v>
      </c>
      <c r="C18" s="6" t="str">
        <f>E18&amp;"_"&amp;COUNTIFS($E$6:E18,E18)</f>
        <v>BMW_3</v>
      </c>
      <c r="D18" s="6" t="s">
        <v>78</v>
      </c>
      <c r="E18" s="6" t="s">
        <v>557</v>
      </c>
      <c r="F18" s="14" t="s">
        <v>12</v>
      </c>
      <c r="J18" s="12" t="s">
        <v>558</v>
      </c>
      <c r="K18" s="14" t="s">
        <v>558</v>
      </c>
      <c r="L18" s="13">
        <v>2</v>
      </c>
      <c r="M18" s="13">
        <f t="shared" si="4"/>
        <v>1</v>
      </c>
      <c r="N18" s="13"/>
      <c r="P18" s="20"/>
      <c r="Q18" s="7" t="str">
        <f t="shared" si="5"/>
        <v>BMW/MINI of Escondido</v>
      </c>
      <c r="R18" s="20"/>
      <c r="T18" s="20"/>
      <c r="AB18" s="7" t="s">
        <v>148</v>
      </c>
    </row>
    <row r="19" spans="1:32" ht="15" customHeight="1">
      <c r="A19" s="31">
        <f t="shared" si="0"/>
        <v>14</v>
      </c>
      <c r="B19" s="6" t="str">
        <f>F19&amp;"_"&amp;COUNTIFS($F$6:F19,F19)</f>
        <v>Southern California_3</v>
      </c>
      <c r="C19" s="6" t="str">
        <f>E19&amp;"_"&amp;COUNTIFS($E$6:E19,E19)</f>
        <v>BMW_4</v>
      </c>
      <c r="D19" s="6" t="s">
        <v>84</v>
      </c>
      <c r="E19" s="18" t="s">
        <v>557</v>
      </c>
      <c r="F19" s="18" t="s">
        <v>15</v>
      </c>
      <c r="J19" s="12" t="s">
        <v>559</v>
      </c>
      <c r="K19" s="14" t="s">
        <v>559</v>
      </c>
      <c r="L19" s="13">
        <v>2</v>
      </c>
      <c r="M19" s="13">
        <f t="shared" si="4"/>
        <v>1</v>
      </c>
      <c r="N19" s="13"/>
      <c r="Q19" s="7" t="str">
        <f t="shared" si="5"/>
        <v>BMW of Ontario</v>
      </c>
      <c r="AB19" s="7" t="s">
        <v>160</v>
      </c>
    </row>
    <row r="20" spans="1:32" ht="15" customHeight="1">
      <c r="A20" s="31">
        <f t="shared" si="0"/>
        <v>15</v>
      </c>
      <c r="B20" s="6" t="str">
        <f>F20&amp;"_"&amp;COUNTIFS($F$6:F20,F20)</f>
        <v>Orange County_3</v>
      </c>
      <c r="C20" s="6" t="str">
        <f>E20&amp;"_"&amp;COUNTIFS($E$6:E20,E20)</f>
        <v>BMW_5</v>
      </c>
      <c r="D20" s="6" t="s">
        <v>80</v>
      </c>
      <c r="E20" s="18" t="s">
        <v>557</v>
      </c>
      <c r="F20" s="18" t="s">
        <v>14</v>
      </c>
      <c r="J20" s="12" t="s">
        <v>560</v>
      </c>
      <c r="K20" s="14" t="s">
        <v>560</v>
      </c>
      <c r="L20" s="13">
        <v>2</v>
      </c>
      <c r="M20" s="13">
        <f t="shared" si="4"/>
        <v>7</v>
      </c>
      <c r="N20" s="13"/>
      <c r="Q20" s="7" t="str">
        <f t="shared" si="5"/>
        <v>BMW of San Diego</v>
      </c>
      <c r="AB20" s="7" t="s">
        <v>164</v>
      </c>
    </row>
    <row r="21" spans="1:32" ht="15" customHeight="1">
      <c r="A21" s="31">
        <f t="shared" si="0"/>
        <v>16</v>
      </c>
      <c r="B21" s="6" t="str">
        <f>F21&amp;"_"&amp;COUNTIFS($F$6:F21,F21)</f>
        <v>Southern California_4</v>
      </c>
      <c r="C21" s="6" t="str">
        <f>E21&amp;"_"&amp;COUNTIFS($E$6:E21,E21)</f>
        <v>BMW_6</v>
      </c>
      <c r="D21" s="6" t="s">
        <v>82</v>
      </c>
      <c r="E21" s="18" t="s">
        <v>557</v>
      </c>
      <c r="F21" s="18" t="s">
        <v>15</v>
      </c>
      <c r="J21" s="12" t="s">
        <v>561</v>
      </c>
      <c r="K21" s="14" t="s">
        <v>561</v>
      </c>
      <c r="L21" s="13">
        <v>2</v>
      </c>
      <c r="M21" s="13">
        <f t="shared" si="4"/>
        <v>3</v>
      </c>
      <c r="N21" s="13"/>
      <c r="Q21" s="7" t="str">
        <f t="shared" si="5"/>
        <v>Capitol Acura</v>
      </c>
      <c r="AB21" s="7" t="s">
        <v>166</v>
      </c>
    </row>
    <row r="22" spans="1:32" ht="15" customHeight="1">
      <c r="A22" s="31">
        <f t="shared" si="0"/>
        <v>17</v>
      </c>
      <c r="B22" s="6" t="str">
        <f>F22&amp;"_"&amp;COUNTIFS($F$6:F22,F22)</f>
        <v>Northern California_2</v>
      </c>
      <c r="C22" s="6" t="str">
        <f>E22&amp;"_"&amp;COUNTIFS($E$6:E22,E22)</f>
        <v>Acura_3</v>
      </c>
      <c r="D22" s="6" t="s">
        <v>86</v>
      </c>
      <c r="E22" s="6" t="s">
        <v>29</v>
      </c>
      <c r="F22" s="6" t="s">
        <v>13</v>
      </c>
      <c r="J22" s="12" t="s">
        <v>562</v>
      </c>
      <c r="K22" s="14" t="s">
        <v>562</v>
      </c>
      <c r="L22" s="13">
        <v>2</v>
      </c>
      <c r="M22" s="13">
        <f t="shared" si="4"/>
        <v>2</v>
      </c>
      <c r="N22" s="13"/>
      <c r="Q22" s="7" t="str">
        <f t="shared" si="5"/>
        <v>Capitol Honda</v>
      </c>
      <c r="AB22" s="7" t="s">
        <v>168</v>
      </c>
    </row>
    <row r="23" spans="1:32" ht="15" customHeight="1">
      <c r="A23" s="31">
        <f t="shared" si="0"/>
        <v>18</v>
      </c>
      <c r="B23" s="6" t="str">
        <f>F23&amp;"_"&amp;COUNTIFS($F$6:F23,F23)</f>
        <v>Northern California_3</v>
      </c>
      <c r="C23" s="6" t="str">
        <f>E23&amp;"_"&amp;COUNTIFS($E$6:E23,E23)</f>
        <v>Honda_1</v>
      </c>
      <c r="D23" s="6" t="s">
        <v>88</v>
      </c>
      <c r="E23" s="6" t="s">
        <v>560</v>
      </c>
      <c r="F23" s="6" t="s">
        <v>13</v>
      </c>
      <c r="J23" s="12" t="s">
        <v>563</v>
      </c>
      <c r="K23" s="14" t="s">
        <v>563</v>
      </c>
      <c r="L23" s="13">
        <v>2</v>
      </c>
      <c r="M23" s="13">
        <f t="shared" si="4"/>
        <v>4</v>
      </c>
      <c r="N23" s="13"/>
      <c r="Q23" s="7" t="str">
        <f t="shared" si="5"/>
        <v>Crevier BMW</v>
      </c>
      <c r="AB23" s="7" t="s">
        <v>170</v>
      </c>
    </row>
    <row r="24" spans="1:32" ht="15" customHeight="1">
      <c r="A24" s="31">
        <f t="shared" si="0"/>
        <v>19</v>
      </c>
      <c r="B24" s="6" t="str">
        <f>F24&amp;"_"&amp;COUNTIFS($F$6:F24,F24)</f>
        <v>Orange County_4</v>
      </c>
      <c r="C24" s="6" t="str">
        <f>E24&amp;"_"&amp;COUNTIFS($E$6:E24,E24)</f>
        <v>BMW_7</v>
      </c>
      <c r="D24" s="6" t="s">
        <v>90</v>
      </c>
      <c r="E24" s="6" t="s">
        <v>557</v>
      </c>
      <c r="F24" s="6" t="s">
        <v>14</v>
      </c>
      <c r="J24" s="12" t="s">
        <v>564</v>
      </c>
      <c r="K24" s="14" t="s">
        <v>564</v>
      </c>
      <c r="L24" s="13">
        <v>2</v>
      </c>
      <c r="M24" s="13">
        <f t="shared" si="4"/>
        <v>1</v>
      </c>
      <c r="N24" s="13"/>
      <c r="Q24" s="7" t="str">
        <f t="shared" si="5"/>
        <v>Crevier MINI</v>
      </c>
      <c r="AB24" s="7" t="s">
        <v>174</v>
      </c>
    </row>
    <row r="25" spans="1:32" ht="15" customHeight="1">
      <c r="A25" s="31">
        <f t="shared" si="0"/>
        <v>20</v>
      </c>
      <c r="B25" s="6" t="str">
        <f>F25&amp;"_"&amp;COUNTIFS($F$6:F25,F25)</f>
        <v>Orange County_5</v>
      </c>
      <c r="C25" s="6" t="str">
        <f>E25&amp;"_"&amp;COUNTIFS($E$6:E25,E25)</f>
        <v>MINI_1</v>
      </c>
      <c r="D25" s="6" t="s">
        <v>92</v>
      </c>
      <c r="E25" s="6" t="s">
        <v>565</v>
      </c>
      <c r="F25" s="6" t="s">
        <v>14</v>
      </c>
      <c r="J25" s="12" t="s">
        <v>566</v>
      </c>
      <c r="K25" s="14" t="s">
        <v>566</v>
      </c>
      <c r="L25" s="13">
        <v>2</v>
      </c>
      <c r="M25" s="13">
        <f t="shared" si="4"/>
        <v>1</v>
      </c>
      <c r="N25" s="13"/>
      <c r="Q25" s="7" t="str">
        <f t="shared" si="5"/>
        <v>East Madison Toyota</v>
      </c>
      <c r="AB25" s="7" t="s">
        <v>567</v>
      </c>
    </row>
    <row r="26" spans="1:32" ht="15" customHeight="1">
      <c r="A26" s="31">
        <f t="shared" si="0"/>
        <v>21</v>
      </c>
      <c r="B26" s="6" t="str">
        <f>F26&amp;"_"&amp;COUNTIFS($F$6:F26,F26)</f>
        <v>Wisconsin_1</v>
      </c>
      <c r="C26" s="6" t="str">
        <f>E26&amp;"_"&amp;COUNTIFS($E$6:E26,E26)</f>
        <v>Toyota_1</v>
      </c>
      <c r="D26" s="6" t="s">
        <v>94</v>
      </c>
      <c r="E26" s="6" t="s">
        <v>568</v>
      </c>
      <c r="F26" s="6" t="s">
        <v>17</v>
      </c>
      <c r="J26" s="12" t="s">
        <v>569</v>
      </c>
      <c r="K26" s="14" t="s">
        <v>569</v>
      </c>
      <c r="L26" s="13">
        <v>2</v>
      </c>
      <c r="M26" s="13">
        <f t="shared" si="4"/>
        <v>3</v>
      </c>
      <c r="N26" s="13"/>
      <c r="Q26" s="7" t="str">
        <f t="shared" si="5"/>
        <v>Genesis of Round Rock</v>
      </c>
      <c r="AB26" s="7" t="s">
        <v>178</v>
      </c>
    </row>
    <row r="27" spans="1:32" ht="15" customHeight="1">
      <c r="A27" s="31">
        <f t="shared" si="0"/>
        <v>22</v>
      </c>
      <c r="B27" s="6" t="str">
        <f>F27&amp;"_"&amp;COUNTIFS($F$6:F27,F27)</f>
        <v>Texas_2</v>
      </c>
      <c r="C27" s="6" t="str">
        <f>E27&amp;"_"&amp;COUNTIFS($E$6:E27,E27)</f>
        <v>Genesis_1</v>
      </c>
      <c r="D27" s="6" t="s">
        <v>98</v>
      </c>
      <c r="E27" s="6" t="s">
        <v>559</v>
      </c>
      <c r="F27" s="6" t="s">
        <v>16</v>
      </c>
      <c r="J27" s="12" t="s">
        <v>565</v>
      </c>
      <c r="K27" s="14" t="s">
        <v>565</v>
      </c>
      <c r="L27" s="13">
        <v>2</v>
      </c>
      <c r="M27" s="13">
        <f t="shared" si="4"/>
        <v>8</v>
      </c>
      <c r="N27" s="13"/>
      <c r="Q27" s="7" t="str">
        <f t="shared" si="5"/>
        <v>Honda Leander</v>
      </c>
      <c r="AB27" s="7" t="s">
        <v>180</v>
      </c>
    </row>
    <row r="28" spans="1:32" ht="15" customHeight="1">
      <c r="A28" s="31">
        <f t="shared" si="0"/>
        <v>23</v>
      </c>
      <c r="B28" s="6" t="str">
        <f>F28&amp;"_"&amp;COUNTIFS($F$6:F28,F28)</f>
        <v>Texas_3</v>
      </c>
      <c r="C28" s="6" t="str">
        <f>E28&amp;"_"&amp;COUNTIFS($E$6:E28,E28)</f>
        <v>Honda_2</v>
      </c>
      <c r="D28" s="6" t="s">
        <v>100</v>
      </c>
      <c r="E28" s="6" t="s">
        <v>560</v>
      </c>
      <c r="F28" s="6" t="s">
        <v>16</v>
      </c>
      <c r="J28" s="12" t="s">
        <v>570</v>
      </c>
      <c r="K28" s="14" t="s">
        <v>570</v>
      </c>
      <c r="L28" s="13">
        <v>2</v>
      </c>
      <c r="M28" s="13">
        <f t="shared" si="4"/>
        <v>2</v>
      </c>
      <c r="N28" s="13"/>
      <c r="Q28" s="7" t="str">
        <f t="shared" si="5"/>
        <v>Honda North</v>
      </c>
    </row>
    <row r="29" spans="1:32" ht="15" customHeight="1">
      <c r="A29" s="31">
        <f t="shared" si="0"/>
        <v>24</v>
      </c>
      <c r="B29" s="6" t="str">
        <f>F29&amp;"_"&amp;COUNTIFS($F$6:F29,F29)</f>
        <v>Northern California_4</v>
      </c>
      <c r="C29" s="6" t="str">
        <f>E29&amp;"_"&amp;COUNTIFS($E$6:E29,E29)</f>
        <v>Honda_3</v>
      </c>
      <c r="D29" s="6" t="s">
        <v>102</v>
      </c>
      <c r="E29" s="6" t="s">
        <v>560</v>
      </c>
      <c r="F29" s="6" t="s">
        <v>13</v>
      </c>
      <c r="J29" s="12" t="s">
        <v>571</v>
      </c>
      <c r="K29" s="14" t="s">
        <v>571</v>
      </c>
      <c r="L29" s="13">
        <v>2</v>
      </c>
      <c r="M29" s="13">
        <f t="shared" si="4"/>
        <v>1</v>
      </c>
      <c r="Q29" s="7" t="str">
        <f t="shared" si="5"/>
        <v>Honda of Escondido</v>
      </c>
    </row>
    <row r="30" spans="1:32" ht="15" customHeight="1">
      <c r="A30" s="31">
        <f t="shared" si="0"/>
        <v>25</v>
      </c>
      <c r="B30" s="6" t="str">
        <f>F30&amp;"_"&amp;COUNTIFS($F$6:F30,F30)</f>
        <v>Southern California_5</v>
      </c>
      <c r="C30" s="6" t="str">
        <f>E30&amp;"_"&amp;COUNTIFS($E$6:E30,E30)</f>
        <v>Honda_4</v>
      </c>
      <c r="D30" s="6" t="s">
        <v>104</v>
      </c>
      <c r="E30" s="18" t="s">
        <v>560</v>
      </c>
      <c r="F30" s="18" t="s">
        <v>15</v>
      </c>
      <c r="J30" s="12" t="s">
        <v>568</v>
      </c>
      <c r="K30" s="14" t="s">
        <v>568</v>
      </c>
      <c r="L30" s="13">
        <v>2</v>
      </c>
      <c r="M30" s="13">
        <f t="shared" si="4"/>
        <v>5</v>
      </c>
      <c r="Q30" s="7" t="str">
        <f t="shared" si="5"/>
        <v>Hyundai of Leander</v>
      </c>
    </row>
    <row r="31" spans="1:32" s="21" customFormat="1" ht="15" customHeight="1">
      <c r="A31" s="31">
        <f t="shared" si="0"/>
        <v>26</v>
      </c>
      <c r="B31" s="6" t="str">
        <f>F31&amp;"_"&amp;COUNTIFS($F$6:F31,F31)</f>
        <v>Texas_4</v>
      </c>
      <c r="C31" s="6" t="str">
        <f>E31&amp;"_"&amp;COUNTIFS($E$6:E31,E31)</f>
        <v>Hyundai_1</v>
      </c>
      <c r="D31" s="6" t="s">
        <v>417</v>
      </c>
      <c r="E31" s="6" t="s">
        <v>561</v>
      </c>
      <c r="F31" s="6" t="s">
        <v>16</v>
      </c>
      <c r="G31" s="6"/>
      <c r="H31" s="6"/>
      <c r="I31" s="6"/>
      <c r="J31" s="12" t="s">
        <v>553</v>
      </c>
      <c r="K31" s="14" t="s">
        <v>553</v>
      </c>
      <c r="L31" s="13">
        <v>2</v>
      </c>
      <c r="M31" s="13">
        <f t="shared" si="4"/>
        <v>3</v>
      </c>
      <c r="N31" s="20"/>
      <c r="O31" s="7"/>
      <c r="P31" s="7"/>
      <c r="Q31" s="7" t="str">
        <f t="shared" si="5"/>
        <v>Hyundai of Pharr</v>
      </c>
      <c r="R31" s="7"/>
      <c r="S31" s="7"/>
      <c r="T31" s="7"/>
      <c r="U31" s="7"/>
      <c r="V31" s="7"/>
      <c r="W31" s="7"/>
      <c r="X31" s="20"/>
      <c r="Y31" s="20"/>
      <c r="Z31" s="20"/>
      <c r="AA31" s="20"/>
      <c r="AB31" s="20"/>
      <c r="AC31" s="8"/>
      <c r="AD31" s="8"/>
      <c r="AE31" s="8"/>
      <c r="AF31" s="8"/>
    </row>
    <row r="32" spans="1:32" ht="15" customHeight="1">
      <c r="A32" s="31">
        <f t="shared" si="0"/>
        <v>27</v>
      </c>
      <c r="B32" s="6" t="str">
        <f>F32&amp;"_"&amp;COUNTIFS($F$6:F32,F32)</f>
        <v>Texas_5</v>
      </c>
      <c r="C32" s="6" t="str">
        <f>E32&amp;"_"&amp;COUNTIFS($E$6:E32,E32)</f>
        <v>Hyundai_2</v>
      </c>
      <c r="D32" s="6" t="s">
        <v>108</v>
      </c>
      <c r="E32" s="6" t="s">
        <v>561</v>
      </c>
      <c r="F32" s="6" t="s">
        <v>16</v>
      </c>
      <c r="J32" s="12" t="s">
        <v>572</v>
      </c>
      <c r="K32" s="14" t="s">
        <v>572</v>
      </c>
      <c r="L32" s="13">
        <v>2</v>
      </c>
      <c r="M32" s="13">
        <f t="shared" si="4"/>
        <v>2</v>
      </c>
      <c r="Q32" s="7" t="str">
        <f t="shared" si="5"/>
        <v>Kearny Mesa Toyota</v>
      </c>
    </row>
    <row r="33" spans="1:32" s="21" customFormat="1" ht="15" customHeight="1">
      <c r="A33" s="31">
        <f t="shared" si="0"/>
        <v>28</v>
      </c>
      <c r="B33" s="6" t="str">
        <f>F33&amp;"_"&amp;COUNTIFS($F$6:F33,F33)</f>
        <v>Southern California_6</v>
      </c>
      <c r="C33" s="6" t="str">
        <f>E33&amp;"_"&amp;COUNTIFS($E$6:E33,E33)</f>
        <v>Toyota_2</v>
      </c>
      <c r="D33" s="6" t="s">
        <v>112</v>
      </c>
      <c r="E33" s="6" t="s">
        <v>568</v>
      </c>
      <c r="F33" s="6" t="s">
        <v>15</v>
      </c>
      <c r="G33" s="6"/>
      <c r="H33" s="6"/>
      <c r="I33" s="6"/>
      <c r="J33" s="12"/>
      <c r="K33" s="14"/>
      <c r="L33" s="13"/>
      <c r="M33" s="13"/>
      <c r="N33" s="20"/>
      <c r="O33" s="7"/>
      <c r="P33" s="7"/>
      <c r="Q33" s="7" t="str">
        <f t="shared" si="5"/>
        <v>Lamborghini North Scottsdale</v>
      </c>
      <c r="R33" s="7"/>
      <c r="S33" s="7"/>
      <c r="T33" s="7"/>
      <c r="U33" s="20"/>
      <c r="V33" s="20"/>
      <c r="W33" s="7"/>
      <c r="X33" s="20"/>
      <c r="Y33" s="20"/>
      <c r="Z33" s="20"/>
      <c r="AA33" s="20"/>
      <c r="AB33" s="20"/>
      <c r="AC33" s="8"/>
      <c r="AD33" s="8"/>
      <c r="AE33" s="8"/>
      <c r="AF33" s="8"/>
    </row>
    <row r="34" spans="1:32" ht="15" customHeight="1">
      <c r="A34" s="31">
        <f t="shared" si="0"/>
        <v>29</v>
      </c>
      <c r="B34" s="6" t="str">
        <f>F34&amp;"_"&amp;COUNTIFS($F$6:F34,F34)</f>
        <v>Arizona_6</v>
      </c>
      <c r="C34" s="6" t="str">
        <f>E34&amp;"_"&amp;COUNTIFS($E$6:E34,E34)</f>
        <v>Ultra_2</v>
      </c>
      <c r="D34" s="6" t="s">
        <v>114</v>
      </c>
      <c r="E34" s="6" t="s">
        <v>553</v>
      </c>
      <c r="F34" s="6" t="s">
        <v>10</v>
      </c>
      <c r="J34" s="12"/>
      <c r="K34" s="19"/>
      <c r="L34" s="13"/>
      <c r="M34" s="13"/>
      <c r="Q34" s="7" t="str">
        <f t="shared" si="5"/>
        <v>Land Rover Chandler</v>
      </c>
    </row>
    <row r="35" spans="1:32" ht="15" customHeight="1">
      <c r="A35" s="31">
        <f t="shared" si="0"/>
        <v>30</v>
      </c>
      <c r="B35" s="6" t="str">
        <f>F35&amp;"_"&amp;COUNTIFS($F$6:F35,F35)</f>
        <v>Arizona_7</v>
      </c>
      <c r="C35" s="6" t="str">
        <f>E35&amp;"_"&amp;COUNTIFS($E$6:E35,E35)</f>
        <v>LR_1</v>
      </c>
      <c r="D35" s="6" t="s">
        <v>116</v>
      </c>
      <c r="E35" s="6" t="s">
        <v>562</v>
      </c>
      <c r="F35" s="6" t="s">
        <v>10</v>
      </c>
      <c r="J35" s="12"/>
      <c r="K35" s="14"/>
      <c r="L35" s="13"/>
      <c r="M35" s="13"/>
      <c r="Q35" s="7" t="str">
        <f t="shared" si="5"/>
        <v>Land Rover North Scottsdale</v>
      </c>
    </row>
    <row r="36" spans="1:32" ht="15" customHeight="1">
      <c r="A36" s="31">
        <f t="shared" si="0"/>
        <v>31</v>
      </c>
      <c r="B36" s="6" t="str">
        <f>F36&amp;"_"&amp;COUNTIFS($F$6:F36,F36)</f>
        <v>Arizona_8</v>
      </c>
      <c r="C36" s="6" t="str">
        <f>E36&amp;"_"&amp;COUNTIFS($E$6:E36,E36)</f>
        <v>LR_2</v>
      </c>
      <c r="D36" s="6" t="s">
        <v>118</v>
      </c>
      <c r="E36" s="6" t="s">
        <v>562</v>
      </c>
      <c r="F36" s="6" t="s">
        <v>10</v>
      </c>
      <c r="J36" s="12"/>
      <c r="K36" s="14"/>
      <c r="L36" s="13"/>
      <c r="M36" s="13"/>
      <c r="Q36" s="7" t="str">
        <f t="shared" si="5"/>
        <v>Lexus of Austin</v>
      </c>
    </row>
    <row r="37" spans="1:32" ht="15" customHeight="1">
      <c r="A37" s="31">
        <f t="shared" si="0"/>
        <v>32</v>
      </c>
      <c r="B37" s="6" t="str">
        <f>F37&amp;"_"&amp;COUNTIFS($F$6:F37,F37)</f>
        <v>Texas_6</v>
      </c>
      <c r="C37" s="6" t="str">
        <f>E37&amp;"_"&amp;COUNTIFS($E$6:E37,E37)</f>
        <v>Lexus_1</v>
      </c>
      <c r="D37" s="6" t="s">
        <v>120</v>
      </c>
      <c r="E37" s="6" t="s">
        <v>563</v>
      </c>
      <c r="F37" s="6" t="s">
        <v>16</v>
      </c>
      <c r="J37" s="12"/>
      <c r="K37" s="14"/>
      <c r="L37" s="13"/>
      <c r="M37" s="13"/>
      <c r="Q37" s="7" t="str">
        <f t="shared" si="5"/>
        <v>Lexus of Chandler</v>
      </c>
    </row>
    <row r="38" spans="1:32" ht="15" customHeight="1">
      <c r="A38" s="31">
        <f t="shared" si="0"/>
        <v>33</v>
      </c>
      <c r="B38" s="6" t="str">
        <f>F38&amp;"_"&amp;COUNTIFS($F$6:F38,F38)</f>
        <v>Arizona_9</v>
      </c>
      <c r="C38" s="6" t="str">
        <f>E38&amp;"_"&amp;COUNTIFS($E$6:E38,E38)</f>
        <v>Lexus_2</v>
      </c>
      <c r="D38" s="6" t="s">
        <v>122</v>
      </c>
      <c r="E38" s="6" t="s">
        <v>563</v>
      </c>
      <c r="F38" s="6" t="s">
        <v>10</v>
      </c>
      <c r="J38" s="12"/>
      <c r="K38" s="12"/>
      <c r="L38" s="13"/>
      <c r="M38" s="13"/>
      <c r="Q38" s="7" t="str">
        <f t="shared" si="5"/>
        <v>Lexus of Lakeway</v>
      </c>
    </row>
    <row r="39" spans="1:32" ht="15" customHeight="1">
      <c r="A39" s="31">
        <f t="shared" si="0"/>
        <v>34</v>
      </c>
      <c r="B39" s="6" t="str">
        <f>F39&amp;"_"&amp;COUNTIFS($F$6:F39,F39)</f>
        <v>Texas_7</v>
      </c>
      <c r="C39" s="6" t="str">
        <f>E39&amp;"_"&amp;COUNTIFS($E$6:E39,E39)</f>
        <v>Lexus_3</v>
      </c>
      <c r="D39" s="6" t="s">
        <v>124</v>
      </c>
      <c r="E39" s="6" t="s">
        <v>563</v>
      </c>
      <c r="F39" s="6" t="s">
        <v>16</v>
      </c>
      <c r="J39" s="12"/>
      <c r="K39" s="14"/>
      <c r="L39" s="13"/>
      <c r="M39" s="13"/>
      <c r="Q39" s="7" t="str">
        <f t="shared" si="5"/>
        <v>Lexus San Diego</v>
      </c>
    </row>
    <row r="40" spans="1:32" ht="15" customHeight="1">
      <c r="A40" s="31">
        <f t="shared" si="0"/>
        <v>35</v>
      </c>
      <c r="B40" s="6" t="str">
        <f>F40&amp;"_"&amp;COUNTIFS($F$6:F40,F40)</f>
        <v>Southern California_7</v>
      </c>
      <c r="C40" s="6" t="str">
        <f>E40&amp;"_"&amp;COUNTIFS($E$6:E40,E40)</f>
        <v>Lexus_4</v>
      </c>
      <c r="D40" s="6" t="s">
        <v>126</v>
      </c>
      <c r="E40" s="6" t="s">
        <v>563</v>
      </c>
      <c r="F40" s="6" t="s">
        <v>15</v>
      </c>
      <c r="Q40" s="7" t="str">
        <f t="shared" si="5"/>
        <v>Lincoln South Coast</v>
      </c>
    </row>
    <row r="41" spans="1:32" ht="15" customHeight="1">
      <c r="A41" s="31">
        <f t="shared" si="0"/>
        <v>36</v>
      </c>
      <c r="B41" s="6" t="str">
        <f>F41&amp;"_"&amp;COUNTIFS($F$6:F41,F41)</f>
        <v>Orange County_6</v>
      </c>
      <c r="C41" s="6" t="str">
        <f>E41&amp;"_"&amp;COUNTIFS($E$6:E41,E41)</f>
        <v>Lincoln_1</v>
      </c>
      <c r="D41" s="6" t="s">
        <v>128</v>
      </c>
      <c r="E41" s="6" t="s">
        <v>564</v>
      </c>
      <c r="F41" s="6" t="s">
        <v>14</v>
      </c>
      <c r="Q41" s="7" t="str">
        <f t="shared" si="5"/>
        <v>Mazda of Escondido</v>
      </c>
    </row>
    <row r="42" spans="1:32" ht="15" customHeight="1">
      <c r="A42" s="31">
        <f t="shared" si="0"/>
        <v>37</v>
      </c>
      <c r="B42" s="6" t="str">
        <f>F42&amp;"_"&amp;COUNTIFS($F$6:F42,F42)</f>
        <v>Southern California_8</v>
      </c>
      <c r="C42" s="6" t="str">
        <f>E42&amp;"_"&amp;COUNTIFS($E$6:E42,E42)</f>
        <v>Mazda_1</v>
      </c>
      <c r="D42" s="6" t="s">
        <v>130</v>
      </c>
      <c r="E42" s="6" t="s">
        <v>566</v>
      </c>
      <c r="F42" s="6" t="s">
        <v>15</v>
      </c>
      <c r="Q42" s="7" t="str">
        <f t="shared" si="5"/>
        <v>Mercedes-Benz of Chandler</v>
      </c>
    </row>
    <row r="43" spans="1:32" ht="15" customHeight="1">
      <c r="A43" s="31">
        <f t="shared" si="0"/>
        <v>38</v>
      </c>
      <c r="B43" s="6" t="str">
        <f>F43&amp;"_"&amp;COUNTIFS($F$6:F43,F43)</f>
        <v>Arizona_10</v>
      </c>
      <c r="C43" s="6" t="str">
        <f>E43&amp;"_"&amp;COUNTIFS($E$6:E43,E43)</f>
        <v>Mercedes-Benz_1</v>
      </c>
      <c r="D43" s="6" t="s">
        <v>132</v>
      </c>
      <c r="E43" s="6" t="s">
        <v>569</v>
      </c>
      <c r="F43" s="6" t="s">
        <v>10</v>
      </c>
      <c r="Q43" s="7" t="str">
        <f t="shared" si="5"/>
        <v>Mercedes-Benz of North Scottsdale</v>
      </c>
    </row>
    <row r="44" spans="1:32" ht="15" customHeight="1">
      <c r="A44" s="31">
        <f t="shared" si="0"/>
        <v>39</v>
      </c>
      <c r="B44" s="6" t="str">
        <f>F44&amp;"_"&amp;COUNTIFS($F$6:F44,F44)</f>
        <v>Arizona_11</v>
      </c>
      <c r="C44" s="6" t="str">
        <f>E44&amp;"_"&amp;COUNTIFS($E$6:E44,E44)</f>
        <v>Mercedes-Benz_2</v>
      </c>
      <c r="D44" s="6" t="s">
        <v>134</v>
      </c>
      <c r="E44" s="6" t="s">
        <v>569</v>
      </c>
      <c r="F44" s="6" t="s">
        <v>10</v>
      </c>
      <c r="Q44" s="7" t="str">
        <f t="shared" si="5"/>
        <v>Mercedes-Benz of San Diego</v>
      </c>
    </row>
    <row r="45" spans="1:32" ht="15" customHeight="1">
      <c r="A45" s="31">
        <f t="shared" si="0"/>
        <v>40</v>
      </c>
      <c r="B45" s="6" t="str">
        <f>F45&amp;"_"&amp;COUNTIFS($F$6:F45,F45)</f>
        <v>Southern California_9</v>
      </c>
      <c r="C45" s="6" t="str">
        <f>E45&amp;"_"&amp;COUNTIFS($E$6:E45,E45)</f>
        <v>Mercedes-Benz_3</v>
      </c>
      <c r="D45" s="6" t="s">
        <v>136</v>
      </c>
      <c r="E45" s="6" t="s">
        <v>569</v>
      </c>
      <c r="F45" s="6" t="s">
        <v>15</v>
      </c>
      <c r="Q45" s="7" t="str">
        <f t="shared" si="5"/>
        <v>MINI North Scottsdale</v>
      </c>
    </row>
    <row r="46" spans="1:32" ht="15" customHeight="1">
      <c r="A46" s="31">
        <f t="shared" si="0"/>
        <v>41</v>
      </c>
      <c r="B46" s="6" t="str">
        <f>F46&amp;"_"&amp;COUNTIFS($F$6:F46,F46)</f>
        <v>Arizona_12</v>
      </c>
      <c r="C46" s="6" t="str">
        <f>E46&amp;"_"&amp;COUNTIFS($E$6:E46,E46)</f>
        <v>MINI_2</v>
      </c>
      <c r="D46" s="6" t="s">
        <v>138</v>
      </c>
      <c r="E46" s="6" t="s">
        <v>565</v>
      </c>
      <c r="F46" s="6" t="s">
        <v>10</v>
      </c>
      <c r="Q46" s="7" t="str">
        <f t="shared" si="5"/>
        <v>MINI of Austin</v>
      </c>
    </row>
    <row r="47" spans="1:32" ht="15" customHeight="1">
      <c r="A47" s="31">
        <f t="shared" si="0"/>
        <v>42</v>
      </c>
      <c r="B47" s="6" t="str">
        <f>F47&amp;"_"&amp;COUNTIFS($F$6:F47,F47)</f>
        <v>Texas_8</v>
      </c>
      <c r="C47" s="6" t="str">
        <f>E47&amp;"_"&amp;COUNTIFS($E$6:E47,E47)</f>
        <v>MINI_3</v>
      </c>
      <c r="D47" s="6" t="s">
        <v>140</v>
      </c>
      <c r="E47" s="18" t="s">
        <v>565</v>
      </c>
      <c r="F47" s="18" t="s">
        <v>16</v>
      </c>
      <c r="Q47" s="7" t="str">
        <f t="shared" ref="Q47:Q70" si="6">IF(D48="","",D48)</f>
        <v>MINI of Marin</v>
      </c>
    </row>
    <row r="48" spans="1:32" ht="15" customHeight="1">
      <c r="A48" s="31">
        <f t="shared" si="0"/>
        <v>43</v>
      </c>
      <c r="B48" s="6" t="str">
        <f>F48&amp;"_"&amp;COUNTIFS($F$6:F48,F48)</f>
        <v>Northern California_5</v>
      </c>
      <c r="C48" s="6" t="str">
        <f>E48&amp;"_"&amp;COUNTIFS($E$6:E48,E48)</f>
        <v>MINI_4</v>
      </c>
      <c r="D48" s="6" t="s">
        <v>142</v>
      </c>
      <c r="E48" s="6" t="s">
        <v>565</v>
      </c>
      <c r="F48" s="6" t="s">
        <v>13</v>
      </c>
      <c r="Q48" s="7" t="str">
        <f t="shared" si="6"/>
        <v>MINI of Ontario</v>
      </c>
    </row>
    <row r="49" spans="1:23" ht="15" customHeight="1">
      <c r="A49" s="31">
        <f t="shared" si="0"/>
        <v>44</v>
      </c>
      <c r="B49" s="6" t="str">
        <f>F49&amp;"_"&amp;COUNTIFS($F$6:F49,F49)</f>
        <v>Orange County_7</v>
      </c>
      <c r="C49" s="6" t="str">
        <f>E49&amp;"_"&amp;COUNTIFS($E$6:E49,E49)</f>
        <v>MINI_5</v>
      </c>
      <c r="D49" s="6" t="s">
        <v>144</v>
      </c>
      <c r="E49" s="6" t="s">
        <v>565</v>
      </c>
      <c r="F49" s="6" t="s">
        <v>14</v>
      </c>
      <c r="Q49" s="7" t="str">
        <f t="shared" si="6"/>
        <v>MINI of San Diego</v>
      </c>
    </row>
    <row r="50" spans="1:23" ht="15" customHeight="1">
      <c r="A50" s="31">
        <f t="shared" si="0"/>
        <v>45</v>
      </c>
      <c r="B50" s="6" t="str">
        <f>F50&amp;"_"&amp;COUNTIFS($F$6:F50,F50)</f>
        <v>Southern California_10</v>
      </c>
      <c r="C50" s="6" t="str">
        <f>E50&amp;"_"&amp;COUNTIFS($E$6:E50,E50)</f>
        <v>MINI_6</v>
      </c>
      <c r="D50" s="6" t="s">
        <v>146</v>
      </c>
      <c r="E50" s="6" t="s">
        <v>565</v>
      </c>
      <c r="F50" s="6" t="s">
        <v>15</v>
      </c>
      <c r="Q50" s="7" t="str">
        <f t="shared" si="6"/>
        <v>MINI of Tempe</v>
      </c>
    </row>
    <row r="51" spans="1:23" ht="15" customHeight="1">
      <c r="A51" s="31">
        <f t="shared" si="0"/>
        <v>46</v>
      </c>
      <c r="B51" s="6" t="str">
        <f>F51&amp;"_"&amp;COUNTIFS($F$6:F51,F51)</f>
        <v>Arizona_13</v>
      </c>
      <c r="C51" s="6" t="str">
        <f>E51&amp;"_"&amp;COUNTIFS($E$6:E51,E51)</f>
        <v>MINI_7</v>
      </c>
      <c r="D51" s="6" t="s">
        <v>148</v>
      </c>
      <c r="E51" s="6" t="s">
        <v>565</v>
      </c>
      <c r="F51" s="6" t="s">
        <v>10</v>
      </c>
      <c r="Q51" s="7" t="str">
        <f t="shared" si="6"/>
        <v>Motorwerks BMW</v>
      </c>
      <c r="U51" s="20"/>
      <c r="V51" s="20"/>
    </row>
    <row r="52" spans="1:23">
      <c r="A52" s="31">
        <f t="shared" si="0"/>
        <v>47</v>
      </c>
      <c r="B52" s="6" t="str">
        <f>F52&amp;"_"&amp;COUNTIFS($F$6:F52,F52)</f>
        <v>Michigan &amp; Minnesota_2</v>
      </c>
      <c r="C52" s="6" t="str">
        <f>E52&amp;"_"&amp;COUNTIFS($E$6:E52,E52)</f>
        <v>BMW_8</v>
      </c>
      <c r="D52" s="6" t="s">
        <v>150</v>
      </c>
      <c r="E52" s="6" t="s">
        <v>557</v>
      </c>
      <c r="F52" s="14" t="s">
        <v>12</v>
      </c>
      <c r="Q52" s="7" t="str">
        <f t="shared" si="6"/>
        <v>Motorwerks MINI</v>
      </c>
    </row>
    <row r="53" spans="1:23">
      <c r="A53" s="31">
        <f t="shared" si="0"/>
        <v>48</v>
      </c>
      <c r="B53" s="6" t="str">
        <f>F53&amp;"_"&amp;COUNTIFS($F$6:F53,F53)</f>
        <v>Michigan &amp; Minnesota_3</v>
      </c>
      <c r="C53" s="6" t="str">
        <f>E53&amp;"_"&amp;COUNTIFS($E$6:E53,E53)</f>
        <v>MINI_8</v>
      </c>
      <c r="D53" s="6" t="s">
        <v>152</v>
      </c>
      <c r="E53" s="6" t="s">
        <v>565</v>
      </c>
      <c r="F53" s="14" t="s">
        <v>12</v>
      </c>
      <c r="Q53" s="7" t="str">
        <f t="shared" si="6"/>
        <v>Penske Chevrolet</v>
      </c>
    </row>
    <row r="54" spans="1:23">
      <c r="A54" s="31">
        <f t="shared" si="0"/>
        <v>49</v>
      </c>
      <c r="B54" s="6" t="str">
        <f>F54&amp;"_"&amp;COUNTIFS($F$6:F54,F54)</f>
        <v>Indiana_1</v>
      </c>
      <c r="C54" s="6" t="str">
        <f>E54&amp;"_"&amp;COUNTIFS($E$6:E54,E54)</f>
        <v>Chevrolet_1</v>
      </c>
      <c r="D54" s="6" t="s">
        <v>154</v>
      </c>
      <c r="E54" s="18" t="s">
        <v>558</v>
      </c>
      <c r="F54" s="18" t="s">
        <v>11</v>
      </c>
      <c r="Q54" s="7" t="str">
        <f t="shared" si="6"/>
        <v>Penske Honda</v>
      </c>
      <c r="W54" s="20"/>
    </row>
    <row r="55" spans="1:23">
      <c r="A55" s="31">
        <f t="shared" si="0"/>
        <v>50</v>
      </c>
      <c r="B55" s="6" t="str">
        <f>F55&amp;"_"&amp;COUNTIFS($F$6:F55,F55)</f>
        <v>Indiana_2</v>
      </c>
      <c r="C55" s="6" t="str">
        <f>E55&amp;"_"&amp;COUNTIFS($E$6:E55,E55)</f>
        <v>Honda_5</v>
      </c>
      <c r="D55" s="6" t="s">
        <v>156</v>
      </c>
      <c r="E55" s="6" t="s">
        <v>560</v>
      </c>
      <c r="F55" s="6" t="s">
        <v>11</v>
      </c>
      <c r="Q55" s="7" t="str">
        <f t="shared" si="6"/>
        <v>Peter Pan BMW</v>
      </c>
      <c r="W55" s="20"/>
    </row>
    <row r="56" spans="1:23">
      <c r="A56" s="31">
        <f t="shared" si="0"/>
        <v>51</v>
      </c>
      <c r="B56" s="6" t="str">
        <f>F56&amp;"_"&amp;COUNTIFS($F$6:F56,F56)</f>
        <v>Northern California_6</v>
      </c>
      <c r="C56" s="6" t="str">
        <f>E56&amp;"_"&amp;COUNTIFS($E$6:E56,E56)</f>
        <v>BMW_9</v>
      </c>
      <c r="D56" s="6" t="s">
        <v>158</v>
      </c>
      <c r="E56" s="6" t="s">
        <v>557</v>
      </c>
      <c r="F56" s="6" t="s">
        <v>13</v>
      </c>
      <c r="Q56" s="7" t="str">
        <f t="shared" si="6"/>
        <v>Porsche North Scottsdale</v>
      </c>
    </row>
    <row r="57" spans="1:23">
      <c r="A57" s="31">
        <f t="shared" si="0"/>
        <v>52</v>
      </c>
      <c r="B57" s="6" t="str">
        <f>F57&amp;"_"&amp;COUNTIFS($F$6:F57,F57)</f>
        <v>Arizona_14</v>
      </c>
      <c r="C57" s="6" t="str">
        <f>E57&amp;"_"&amp;COUNTIFS($E$6:E57,E57)</f>
        <v>Porsche_1</v>
      </c>
      <c r="D57" s="6" t="s">
        <v>160</v>
      </c>
      <c r="E57" s="6" t="s">
        <v>570</v>
      </c>
      <c r="F57" s="6" t="s">
        <v>10</v>
      </c>
      <c r="Q57" s="7" t="str">
        <f t="shared" si="6"/>
        <v>Porsche Stevens Creek</v>
      </c>
    </row>
    <row r="58" spans="1:23">
      <c r="A58" s="31">
        <f t="shared" si="0"/>
        <v>53</v>
      </c>
      <c r="B58" s="6" t="str">
        <f>F58&amp;"_"&amp;COUNTIFS($F$6:F58,F58)</f>
        <v>Northern California_7</v>
      </c>
      <c r="C58" s="6" t="str">
        <f>E58&amp;"_"&amp;COUNTIFS($E$6:E58,E58)</f>
        <v>Porsche_2</v>
      </c>
      <c r="D58" s="6" t="s">
        <v>162</v>
      </c>
      <c r="E58" s="6" t="s">
        <v>570</v>
      </c>
      <c r="F58" s="6" t="s">
        <v>13</v>
      </c>
      <c r="Q58" s="7" t="str">
        <f t="shared" si="6"/>
        <v>Round Rock Honda</v>
      </c>
    </row>
    <row r="59" spans="1:23">
      <c r="A59" s="31">
        <f t="shared" si="0"/>
        <v>54</v>
      </c>
      <c r="B59" s="6" t="str">
        <f>F59&amp;"_"&amp;COUNTIFS($F$6:F59,F59)</f>
        <v>Texas_9</v>
      </c>
      <c r="C59" s="6" t="str">
        <f>E59&amp;"_"&amp;COUNTIFS($E$6:E59,E59)</f>
        <v>Honda_6</v>
      </c>
      <c r="D59" s="6" t="s">
        <v>164</v>
      </c>
      <c r="E59" s="6" t="s">
        <v>560</v>
      </c>
      <c r="F59" s="6" t="s">
        <v>16</v>
      </c>
      <c r="Q59" s="7" t="str">
        <f t="shared" si="6"/>
        <v>Round Rock Hyundai</v>
      </c>
    </row>
    <row r="60" spans="1:23">
      <c r="A60" s="31">
        <f t="shared" si="0"/>
        <v>55</v>
      </c>
      <c r="B60" s="6" t="str">
        <f>F60&amp;"_"&amp;COUNTIFS($F$6:F60,F60)</f>
        <v>Texas_10</v>
      </c>
      <c r="C60" s="6" t="str">
        <f>E60&amp;"_"&amp;COUNTIFS($E$6:E60,E60)</f>
        <v>Hyundai_3</v>
      </c>
      <c r="D60" s="6" t="s">
        <v>166</v>
      </c>
      <c r="E60" s="6" t="s">
        <v>561</v>
      </c>
      <c r="F60" s="6" t="s">
        <v>16</v>
      </c>
      <c r="Q60" s="7" t="str">
        <f t="shared" si="6"/>
        <v>Round Rock Toyota</v>
      </c>
    </row>
    <row r="61" spans="1:23">
      <c r="A61" s="31">
        <f t="shared" si="0"/>
        <v>56</v>
      </c>
      <c r="B61" s="6" t="str">
        <f>F61&amp;"_"&amp;COUNTIFS($F$6:F61,F61)</f>
        <v>Texas_11</v>
      </c>
      <c r="C61" s="6" t="str">
        <f>E61&amp;"_"&amp;COUNTIFS($E$6:E61,E61)</f>
        <v>Toyota_3</v>
      </c>
      <c r="D61" s="6" t="s">
        <v>168</v>
      </c>
      <c r="E61" s="18" t="s">
        <v>568</v>
      </c>
      <c r="F61" s="18" t="s">
        <v>16</v>
      </c>
      <c r="Q61" s="7" t="str">
        <f t="shared" si="6"/>
        <v>Scottsdale Ferrari Maserati</v>
      </c>
    </row>
    <row r="62" spans="1:23">
      <c r="A62" s="31">
        <f t="shared" si="0"/>
        <v>57</v>
      </c>
      <c r="B62" s="6" t="str">
        <f>F62&amp;"_"&amp;COUNTIFS($F$6:F62,F62)</f>
        <v>Arizona_15</v>
      </c>
      <c r="C62" s="6" t="str">
        <f>E62&amp;"_"&amp;COUNTIFS($E$6:E62,E62)</f>
        <v>Ultra_3</v>
      </c>
      <c r="D62" s="6" t="s">
        <v>170</v>
      </c>
      <c r="E62" s="18" t="s">
        <v>553</v>
      </c>
      <c r="F62" s="18" t="s">
        <v>10</v>
      </c>
      <c r="Q62" s="7" t="str">
        <f t="shared" si="6"/>
        <v>Subaru Orange Coast</v>
      </c>
    </row>
    <row r="63" spans="1:23">
      <c r="A63" s="31">
        <f t="shared" si="0"/>
        <v>58</v>
      </c>
      <c r="B63" s="6" t="str">
        <f>F63&amp;"_"&amp;COUNTIFS($F$6:F63,F63)</f>
        <v>Orange County_8</v>
      </c>
      <c r="C63" s="6" t="str">
        <f>E63&amp;"_"&amp;COUNTIFS($E$6:E63,E63)</f>
        <v>Subaru_1</v>
      </c>
      <c r="D63" s="6" t="s">
        <v>172</v>
      </c>
      <c r="E63" s="6" t="s">
        <v>571</v>
      </c>
      <c r="F63" s="6" t="s">
        <v>14</v>
      </c>
      <c r="Q63" s="7" t="str">
        <f t="shared" si="6"/>
        <v>Tempe Honda</v>
      </c>
    </row>
    <row r="64" spans="1:23">
      <c r="A64" s="31">
        <f t="shared" si="0"/>
        <v>59</v>
      </c>
      <c r="B64" s="6" t="str">
        <f>F64&amp;"_"&amp;COUNTIFS($F$6:F64,F64)</f>
        <v>Arizona_16</v>
      </c>
      <c r="C64" s="6" t="str">
        <f>E64&amp;"_"&amp;COUNTIFS($E$6:E64,E64)</f>
        <v>Honda_7</v>
      </c>
      <c r="D64" s="6" t="s">
        <v>174</v>
      </c>
      <c r="E64" s="6" t="s">
        <v>560</v>
      </c>
      <c r="F64" s="6" t="s">
        <v>10</v>
      </c>
      <c r="Q64" s="7" t="str">
        <f t="shared" si="6"/>
        <v>Toyota of Clovis</v>
      </c>
    </row>
    <row r="65" spans="1:17">
      <c r="A65" s="31">
        <f t="shared" si="0"/>
        <v>60</v>
      </c>
      <c r="B65" s="6" t="str">
        <f>F65&amp;"_"&amp;COUNTIFS($F$6:F65,F65)</f>
        <v>Northern California_8</v>
      </c>
      <c r="C65" s="6" t="str">
        <f>E65&amp;"_"&amp;COUNTIFS($E$6:E65,E65)</f>
        <v>Toyota_4</v>
      </c>
      <c r="D65" s="6" t="s">
        <v>176</v>
      </c>
      <c r="E65" s="6" t="s">
        <v>568</v>
      </c>
      <c r="F65" s="6" t="s">
        <v>13</v>
      </c>
      <c r="Q65" s="7" t="str">
        <f t="shared" si="6"/>
        <v>Toyota of Surprise</v>
      </c>
    </row>
    <row r="66" spans="1:17">
      <c r="A66" s="31">
        <f t="shared" si="0"/>
        <v>61</v>
      </c>
      <c r="B66" s="6" t="str">
        <f>F66&amp;"_"&amp;COUNTIFS($F$6:F66,F66)</f>
        <v>Arizona_17</v>
      </c>
      <c r="C66" s="6" t="str">
        <f>E66&amp;"_"&amp;COUNTIFS($E$6:E66,E66)</f>
        <v>Toyota_5</v>
      </c>
      <c r="D66" s="6" t="s">
        <v>178</v>
      </c>
      <c r="E66" s="6" t="s">
        <v>568</v>
      </c>
      <c r="F66" s="6" t="s">
        <v>10</v>
      </c>
      <c r="Q66" s="7" t="str">
        <f t="shared" si="6"/>
        <v>Volkswagen North Scottsdale</v>
      </c>
    </row>
    <row r="67" spans="1:17">
      <c r="A67" s="31">
        <f t="shared" si="0"/>
        <v>62</v>
      </c>
      <c r="B67" s="6" t="str">
        <f>F67&amp;"_"&amp;COUNTIFS($F$6:F67,F67)</f>
        <v>Arizona_18</v>
      </c>
      <c r="C67" s="6" t="str">
        <f>E67&amp;"_"&amp;COUNTIFS($E$6:E67,E67)</f>
        <v>Volkswagen_1</v>
      </c>
      <c r="D67" s="6" t="s">
        <v>180</v>
      </c>
      <c r="E67" s="6" t="s">
        <v>572</v>
      </c>
      <c r="F67" s="6" t="s">
        <v>10</v>
      </c>
      <c r="Q67" s="7" t="str">
        <f t="shared" si="6"/>
        <v>Volkswagen South Coast</v>
      </c>
    </row>
    <row r="68" spans="1:17">
      <c r="A68" s="31">
        <f t="shared" si="0"/>
        <v>63</v>
      </c>
      <c r="B68" s="6" t="str">
        <f>F68&amp;"_"&amp;COUNTIFS($F$6:F68,F68)</f>
        <v>Orange County_9</v>
      </c>
      <c r="C68" s="6" t="str">
        <f>E68&amp;"_"&amp;COUNTIFS($E$6:E68,E68)</f>
        <v>Volkswagen_2</v>
      </c>
      <c r="D68" s="6" t="s">
        <v>182</v>
      </c>
      <c r="E68" s="6" t="s">
        <v>572</v>
      </c>
      <c r="F68" s="6" t="s">
        <v>14</v>
      </c>
      <c r="Q68" s="7" t="str">
        <f t="shared" si="6"/>
        <v/>
      </c>
    </row>
    <row r="69" spans="1:17">
      <c r="A69" s="31">
        <f t="shared" si="0"/>
        <v>64</v>
      </c>
      <c r="B69" s="6" t="str">
        <f>F69&amp;"_"&amp;COUNTIFS($F$6:F69,F69)</f>
        <v>_0</v>
      </c>
      <c r="C69" s="6" t="str">
        <f>E69&amp;"_"&amp;COUNTIFS($E$6:E69,E69)</f>
        <v>_0</v>
      </c>
      <c r="Q69" s="7" t="str">
        <f t="shared" si="6"/>
        <v/>
      </c>
    </row>
    <row r="70" spans="1:17">
      <c r="A70" s="31">
        <f t="shared" si="0"/>
        <v>65</v>
      </c>
      <c r="B70" s="6" t="str">
        <f>F70&amp;"_"&amp;COUNTIFS($F$6:F70,F70)</f>
        <v>_0</v>
      </c>
      <c r="C70" s="6" t="str">
        <f>E70&amp;"_"&amp;COUNTIFS($E$6:E70,E70)</f>
        <v>_0</v>
      </c>
      <c r="Q70" s="7" t="str">
        <f t="shared" si="6"/>
        <v/>
      </c>
    </row>
    <row r="71" spans="1:17">
      <c r="A71" s="31">
        <f t="shared" ref="A71:A76" si="7">A70+1</f>
        <v>66</v>
      </c>
      <c r="B71" s="6" t="str">
        <f>F71&amp;"_"&amp;COUNTIFS($F$6:F71,F71)</f>
        <v>_0</v>
      </c>
      <c r="C71" s="6" t="str">
        <f>E71&amp;"_"&amp;COUNTIFS($E$6:E71,E71)</f>
        <v>_0</v>
      </c>
    </row>
    <row r="72" spans="1:17">
      <c r="A72" s="31">
        <f t="shared" si="7"/>
        <v>67</v>
      </c>
      <c r="B72" s="6" t="str">
        <f>F72&amp;"_"&amp;COUNTIFS($F$6:F72,F72)</f>
        <v>_0</v>
      </c>
      <c r="C72" s="6" t="str">
        <f>E72&amp;"_"&amp;COUNTIFS($E$6:E72,E72)</f>
        <v>_0</v>
      </c>
    </row>
    <row r="73" spans="1:17">
      <c r="A73" s="31">
        <f t="shared" si="7"/>
        <v>68</v>
      </c>
      <c r="B73" s="6" t="str">
        <f>F73&amp;"_"&amp;COUNTIFS($F$6:F73,F73)</f>
        <v>_0</v>
      </c>
      <c r="C73" s="6" t="str">
        <f>E73&amp;"_"&amp;COUNTIFS($E$6:E73,E73)</f>
        <v>_0</v>
      </c>
    </row>
    <row r="74" spans="1:17">
      <c r="A74" s="31">
        <f t="shared" si="7"/>
        <v>69</v>
      </c>
      <c r="B74" s="6" t="str">
        <f>F74&amp;"_"&amp;COUNTIFS($F$6:F74,F74)</f>
        <v>_0</v>
      </c>
      <c r="C74" s="6" t="str">
        <f>E74&amp;"_"&amp;COUNTIFS($E$6:E74,E74)</f>
        <v>_0</v>
      </c>
    </row>
    <row r="75" spans="1:17">
      <c r="A75" s="31">
        <f t="shared" si="7"/>
        <v>70</v>
      </c>
      <c r="B75" s="6" t="str">
        <f>F75&amp;"_"&amp;COUNTIFS($F$6:F75,F75)</f>
        <v>_0</v>
      </c>
      <c r="C75" s="6" t="str">
        <f>E75&amp;"_"&amp;COUNTIFS($E$6:E75,E75)</f>
        <v>_0</v>
      </c>
    </row>
    <row r="76" spans="1:17">
      <c r="A76" s="31">
        <f t="shared" si="7"/>
        <v>71</v>
      </c>
      <c r="B76" s="6" t="str">
        <f>F76&amp;"_"&amp;COUNTIFS($F$6:F76,F76)</f>
        <v>_0</v>
      </c>
      <c r="C76" s="6" t="str">
        <f>E76&amp;"_"&amp;COUNTIFS($E$6:E76,E76)</f>
        <v>_0</v>
      </c>
    </row>
    <row r="78" spans="1:17">
      <c r="A78" s="6">
        <v>0</v>
      </c>
      <c r="B78" s="6" t="s">
        <v>573</v>
      </c>
      <c r="D78" s="12"/>
      <c r="E78" s="29"/>
      <c r="F78" s="29"/>
    </row>
    <row r="79" spans="1:17">
      <c r="A79" s="6">
        <v>1</v>
      </c>
      <c r="B79" s="6" t="s">
        <v>574</v>
      </c>
      <c r="D79" s="14"/>
      <c r="E79" s="29"/>
      <c r="F79" s="29"/>
    </row>
    <row r="80" spans="1:17">
      <c r="A80" s="6">
        <v>2</v>
      </c>
      <c r="B80" s="6" t="s">
        <v>575</v>
      </c>
      <c r="D80" s="14"/>
      <c r="E80" s="29"/>
      <c r="F80" s="29"/>
    </row>
    <row r="81" spans="1:6">
      <c r="A81" s="6">
        <v>3</v>
      </c>
      <c r="B81" s="6" t="s">
        <v>576</v>
      </c>
      <c r="D81" s="14"/>
      <c r="E81" s="29"/>
      <c r="F81" s="29"/>
    </row>
    <row r="82" spans="1:6">
      <c r="A82" s="6">
        <v>4</v>
      </c>
      <c r="B82" s="6" t="s">
        <v>577</v>
      </c>
      <c r="D82" s="14"/>
      <c r="E82" s="29"/>
      <c r="F82" s="29"/>
    </row>
    <row r="83" spans="1:6">
      <c r="A83" s="6">
        <v>5</v>
      </c>
      <c r="B83" s="6" t="s">
        <v>578</v>
      </c>
      <c r="D83" s="14"/>
      <c r="E83" s="29"/>
      <c r="F83" s="29"/>
    </row>
    <row r="84" spans="1:6">
      <c r="E84" s="29"/>
      <c r="F84" s="29"/>
    </row>
    <row r="85" spans="1:6">
      <c r="E85" s="29"/>
      <c r="F85" s="29"/>
    </row>
    <row r="86" spans="1:6">
      <c r="D86" s="10"/>
      <c r="E86" s="29"/>
      <c r="F86" s="29"/>
    </row>
    <row r="106" spans="5:6">
      <c r="E106" s="18"/>
      <c r="F106" s="18"/>
    </row>
    <row r="108" spans="5:6">
      <c r="E108" s="18"/>
      <c r="F108" s="18"/>
    </row>
    <row r="124" spans="5:6">
      <c r="E124" s="18"/>
      <c r="F124" s="18"/>
    </row>
    <row r="127" spans="5:6">
      <c r="E127" s="18"/>
      <c r="F127" s="18"/>
    </row>
    <row r="128" spans="5:6">
      <c r="E128" s="18"/>
      <c r="F128" s="18"/>
    </row>
    <row r="132" spans="5:6">
      <c r="E132" s="18"/>
      <c r="F132" s="18"/>
    </row>
    <row r="133" spans="5:6">
      <c r="E133" s="18"/>
      <c r="F133" s="18"/>
    </row>
    <row r="148" spans="5:6">
      <c r="E148" s="18"/>
      <c r="F148" s="18"/>
    </row>
    <row r="149" spans="5:6">
      <c r="E149" s="18"/>
      <c r="F149" s="18"/>
    </row>
  </sheetData>
  <sortState xmlns:xlrd2="http://schemas.microsoft.com/office/spreadsheetml/2017/richdata2" ref="A6:F76">
    <sortCondition ref="D6:D76"/>
  </sortState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CBC-F8AF-A842-AA37-6C79E959646D}">
  <sheetPr>
    <tabColor rgb="FF92D050"/>
  </sheetPr>
  <dimension ref="A1:Q74"/>
  <sheetViews>
    <sheetView showGridLines="0" topLeftCell="B3" workbookViewId="0">
      <selection activeCell="C42" sqref="C42"/>
    </sheetView>
  </sheetViews>
  <sheetFormatPr defaultColWidth="11" defaultRowHeight="15"/>
  <cols>
    <col min="1" max="1" width="11" style="97" hidden="1" customWidth="1"/>
    <col min="2" max="2" width="30.625" style="97" bestFit="1" customWidth="1"/>
    <col min="3" max="3" width="17" style="97" customWidth="1"/>
    <col min="4" max="5" width="13.875" style="97" customWidth="1"/>
    <col min="6" max="8" width="11" style="97"/>
    <col min="9" max="12" width="11" style="97" hidden="1" customWidth="1"/>
    <col min="13" max="16" width="11" style="179" hidden="1" customWidth="1"/>
    <col min="17" max="17" width="11" style="97" hidden="1" customWidth="1"/>
    <col min="18" max="16384" width="11" style="97"/>
  </cols>
  <sheetData>
    <row r="1" spans="1:17" s="168" customFormat="1" ht="14.25" hidden="1">
      <c r="B1" s="169" t="s">
        <v>535</v>
      </c>
      <c r="C1" s="169"/>
      <c r="D1" s="170"/>
      <c r="E1" s="170"/>
      <c r="M1" s="171"/>
      <c r="N1" s="171"/>
      <c r="O1" s="171"/>
      <c r="P1" s="171"/>
    </row>
    <row r="2" spans="1:17" s="168" customFormat="1" ht="15" hidden="1" customHeight="1">
      <c r="B2" s="172" t="str">
        <f>KEY!D2</f>
        <v>Q4</v>
      </c>
      <c r="C2" s="173"/>
      <c r="D2" s="174"/>
      <c r="E2" s="174"/>
      <c r="M2" s="171"/>
      <c r="N2" s="171"/>
      <c r="O2" s="171"/>
      <c r="P2" s="171"/>
    </row>
    <row r="3" spans="1:17" s="168" customFormat="1" ht="20.100000000000001" customHeight="1">
      <c r="B3" s="182" t="s">
        <v>579</v>
      </c>
      <c r="C3" s="170"/>
      <c r="D3" s="170"/>
      <c r="E3" s="170"/>
      <c r="M3" s="171"/>
      <c r="N3" s="171"/>
      <c r="O3" s="171"/>
      <c r="P3" s="171"/>
    </row>
    <row r="4" spans="1:17" ht="20.100000000000001" customHeight="1"/>
    <row r="5" spans="1:17" ht="20.100000000000001" customHeight="1" thickBot="1">
      <c r="B5" s="175" t="s">
        <v>34</v>
      </c>
      <c r="C5" s="176" t="s">
        <v>580</v>
      </c>
      <c r="I5" s="177" t="s">
        <v>34</v>
      </c>
      <c r="J5" s="178" t="s">
        <v>581</v>
      </c>
      <c r="K5" s="178" t="s">
        <v>25</v>
      </c>
      <c r="L5" s="178" t="s">
        <v>580</v>
      </c>
      <c r="M5" s="179" t="s">
        <v>582</v>
      </c>
      <c r="N5" s="179" t="s">
        <v>583</v>
      </c>
      <c r="O5" s="179" t="s">
        <v>584</v>
      </c>
      <c r="P5" s="179" t="s">
        <v>585</v>
      </c>
    </row>
    <row r="6" spans="1:17" ht="18" customHeight="1">
      <c r="A6" s="97">
        <v>1</v>
      </c>
      <c r="B6" s="97" t="str">
        <f t="shared" ref="B6:B37" si="0">VLOOKUP($A6,$P$6:$Q$72,2,FALSE)</f>
        <v>Acura North Scottsdale</v>
      </c>
      <c r="C6" s="180">
        <f t="shared" ref="C6:C47" si="1">SUMIFS($L$6:$L$72,$I$6:$I$72,$B6)</f>
        <v>1</v>
      </c>
      <c r="I6" s="97" t="s">
        <v>35</v>
      </c>
      <c r="J6" s="179">
        <f>SUMIFS(WORKSHEET!H$3:H$1081,WORKSHEET!$D$3:$D$1081,$I6,WORKSHEET!$B$3:$B$1081,$B$2)</f>
        <v>8</v>
      </c>
      <c r="K6" s="179">
        <f>SUMIFS(WORKSHEET!I$3:I$1081,WORKSHEET!$D$3:$D$1081,$I6,WORKSHEET!$B$3:$B$1081,$B$2)</f>
        <v>8</v>
      </c>
      <c r="L6" s="180">
        <f t="shared" ref="L6:L48" si="2">IFERROR(K6/J6,"-")</f>
        <v>1</v>
      </c>
      <c r="M6" s="179">
        <v>1</v>
      </c>
      <c r="N6" s="181">
        <f t="shared" ref="N6:N47" si="3">COUNTIF($L$6:$L$72,"&gt;"&amp;L6)+1</f>
        <v>1</v>
      </c>
      <c r="O6" s="179">
        <f>N6+(M6/1000)</f>
        <v>1.0009999999999999</v>
      </c>
      <c r="P6" s="179">
        <f t="shared" ref="P6:P47" si="4">RANK($O6,O$6:O$72,1)</f>
        <v>1</v>
      </c>
      <c r="Q6" s="97" t="s">
        <v>35</v>
      </c>
    </row>
    <row r="7" spans="1:17" ht="18" customHeight="1">
      <c r="A7" s="97">
        <v>2</v>
      </c>
      <c r="B7" s="97" t="str">
        <f t="shared" si="0"/>
        <v>Acura of Escondido</v>
      </c>
      <c r="C7" s="180">
        <f t="shared" si="1"/>
        <v>1</v>
      </c>
      <c r="I7" s="97" t="s">
        <v>58</v>
      </c>
      <c r="J7" s="179">
        <f>SUMIFS(WORKSHEET!H$3:H$1081,WORKSHEET!$D$3:$D$1081,$I7,WORKSHEET!$B$3:$B$1081,$B$2)</f>
        <v>8</v>
      </c>
      <c r="K7" s="179">
        <f>SUMIFS(WORKSHEET!I$3:I$1081,WORKSHEET!$D$3:$D$1081,$I7,WORKSHEET!$B$3:$B$1081,$B$2)</f>
        <v>8</v>
      </c>
      <c r="L7" s="180">
        <f t="shared" si="2"/>
        <v>1</v>
      </c>
      <c r="M7" s="179">
        <v>2</v>
      </c>
      <c r="N7" s="181">
        <f t="shared" si="3"/>
        <v>1</v>
      </c>
      <c r="O7" s="179">
        <f t="shared" ref="O7:O69" si="5">N7+(M7/1000)</f>
        <v>1.002</v>
      </c>
      <c r="P7" s="179">
        <f t="shared" si="4"/>
        <v>2</v>
      </c>
      <c r="Q7" s="97" t="s">
        <v>58</v>
      </c>
    </row>
    <row r="8" spans="1:17" ht="18" customHeight="1">
      <c r="A8" s="97">
        <v>3</v>
      </c>
      <c r="B8" s="97" t="str">
        <f t="shared" si="0"/>
        <v>Audi Chandler</v>
      </c>
      <c r="C8" s="180">
        <f t="shared" si="1"/>
        <v>1</v>
      </c>
      <c r="I8" s="97" t="s">
        <v>60</v>
      </c>
      <c r="J8" s="179">
        <f>SUMIFS(WORKSHEET!H$3:H$1081,WORKSHEET!$D$3:$D$1081,$I8,WORKSHEET!$B$3:$B$1081,$B$2)</f>
        <v>8</v>
      </c>
      <c r="K8" s="179">
        <f>SUMIFS(WORKSHEET!I$3:I$1081,WORKSHEET!$D$3:$D$1081,$I8,WORKSHEET!$B$3:$B$1081,$B$2)</f>
        <v>8</v>
      </c>
      <c r="L8" s="180">
        <f t="shared" si="2"/>
        <v>1</v>
      </c>
      <c r="M8" s="179">
        <v>3</v>
      </c>
      <c r="N8" s="181">
        <f t="shared" si="3"/>
        <v>1</v>
      </c>
      <c r="O8" s="179">
        <f t="shared" si="5"/>
        <v>1.0029999999999999</v>
      </c>
      <c r="P8" s="179">
        <f t="shared" si="4"/>
        <v>3</v>
      </c>
      <c r="Q8" s="97" t="s">
        <v>60</v>
      </c>
    </row>
    <row r="9" spans="1:17" ht="18" customHeight="1">
      <c r="A9" s="97">
        <v>4</v>
      </c>
      <c r="B9" s="97" t="str">
        <f t="shared" si="0"/>
        <v>Audi Escondido</v>
      </c>
      <c r="C9" s="180">
        <f t="shared" si="1"/>
        <v>1</v>
      </c>
      <c r="I9" s="97" t="s">
        <v>62</v>
      </c>
      <c r="J9" s="179">
        <f>SUMIFS(WORKSHEET!H$3:H$1081,WORKSHEET!$D$3:$D$1081,$I9,WORKSHEET!$B$3:$B$1081,$B$2)</f>
        <v>8</v>
      </c>
      <c r="K9" s="179">
        <f>SUMIFS(WORKSHEET!I$3:I$1081,WORKSHEET!$D$3:$D$1081,$I9,WORKSHEET!$B$3:$B$1081,$B$2)</f>
        <v>8</v>
      </c>
      <c r="L9" s="180">
        <f t="shared" si="2"/>
        <v>1</v>
      </c>
      <c r="M9" s="179">
        <v>4</v>
      </c>
      <c r="N9" s="181">
        <f t="shared" si="3"/>
        <v>1</v>
      </c>
      <c r="O9" s="179">
        <f t="shared" si="5"/>
        <v>1.004</v>
      </c>
      <c r="P9" s="179">
        <f t="shared" si="4"/>
        <v>4</v>
      </c>
      <c r="Q9" s="97" t="s">
        <v>62</v>
      </c>
    </row>
    <row r="10" spans="1:17" ht="18" customHeight="1">
      <c r="A10" s="97">
        <v>5</v>
      </c>
      <c r="B10" s="97" t="str">
        <f t="shared" si="0"/>
        <v>Audi North OC</v>
      </c>
      <c r="C10" s="180">
        <f t="shared" si="1"/>
        <v>1</v>
      </c>
      <c r="I10" s="97" t="s">
        <v>64</v>
      </c>
      <c r="J10" s="179">
        <f>SUMIFS(WORKSHEET!H$3:H$1081,WORKSHEET!$D$3:$D$1081,$I10,WORKSHEET!$B$3:$B$1081,$B$2)</f>
        <v>8</v>
      </c>
      <c r="K10" s="179">
        <f>SUMIFS(WORKSHEET!I$3:I$1081,WORKSHEET!$D$3:$D$1081,$I10,WORKSHEET!$B$3:$B$1081,$B$2)</f>
        <v>8</v>
      </c>
      <c r="L10" s="180">
        <f t="shared" si="2"/>
        <v>1</v>
      </c>
      <c r="M10" s="179">
        <v>5</v>
      </c>
      <c r="N10" s="181">
        <f t="shared" si="3"/>
        <v>1</v>
      </c>
      <c r="O10" s="179">
        <f t="shared" si="5"/>
        <v>1.0049999999999999</v>
      </c>
      <c r="P10" s="179">
        <f t="shared" si="4"/>
        <v>5</v>
      </c>
      <c r="Q10" s="97" t="s">
        <v>64</v>
      </c>
    </row>
    <row r="11" spans="1:17" ht="18" customHeight="1">
      <c r="A11" s="97">
        <v>6</v>
      </c>
      <c r="B11" s="97" t="str">
        <f t="shared" si="0"/>
        <v>Audi North Scottsdale</v>
      </c>
      <c r="C11" s="180">
        <f t="shared" si="1"/>
        <v>1</v>
      </c>
      <c r="I11" s="97" t="s">
        <v>66</v>
      </c>
      <c r="J11" s="179">
        <f>SUMIFS(WORKSHEET!H$3:H$1081,WORKSHEET!$D$3:$D$1081,$I11,WORKSHEET!$B$3:$B$1081,$B$2)</f>
        <v>8</v>
      </c>
      <c r="K11" s="179">
        <f>SUMIFS(WORKSHEET!I$3:I$1081,WORKSHEET!$D$3:$D$1081,$I11,WORKSHEET!$B$3:$B$1081,$B$2)</f>
        <v>8</v>
      </c>
      <c r="L11" s="180">
        <f t="shared" si="2"/>
        <v>1</v>
      </c>
      <c r="M11" s="179">
        <v>6</v>
      </c>
      <c r="N11" s="181">
        <f t="shared" si="3"/>
        <v>1</v>
      </c>
      <c r="O11" s="179">
        <f t="shared" si="5"/>
        <v>1.006</v>
      </c>
      <c r="P11" s="179">
        <f t="shared" si="4"/>
        <v>6</v>
      </c>
      <c r="Q11" s="97" t="s">
        <v>66</v>
      </c>
    </row>
    <row r="12" spans="1:17" ht="18" customHeight="1">
      <c r="A12" s="97">
        <v>7</v>
      </c>
      <c r="B12" s="97" t="str">
        <f t="shared" si="0"/>
        <v>Audi San Jose</v>
      </c>
      <c r="C12" s="180">
        <f t="shared" si="1"/>
        <v>1</v>
      </c>
      <c r="I12" s="97" t="s">
        <v>68</v>
      </c>
      <c r="J12" s="179">
        <f>SUMIFS(WORKSHEET!H$3:H$1081,WORKSHEET!$D$3:$D$1081,$I12,WORKSHEET!$B$3:$B$1081,$B$2)</f>
        <v>8</v>
      </c>
      <c r="K12" s="179">
        <f>SUMIFS(WORKSHEET!I$3:I$1081,WORKSHEET!$D$3:$D$1081,$I12,WORKSHEET!$B$3:$B$1081,$B$2)</f>
        <v>8</v>
      </c>
      <c r="L12" s="180">
        <f t="shared" si="2"/>
        <v>1</v>
      </c>
      <c r="M12" s="179">
        <v>7</v>
      </c>
      <c r="N12" s="181">
        <f t="shared" si="3"/>
        <v>1</v>
      </c>
      <c r="O12" s="179">
        <f t="shared" si="5"/>
        <v>1.0069999999999999</v>
      </c>
      <c r="P12" s="179">
        <f t="shared" si="4"/>
        <v>7</v>
      </c>
      <c r="Q12" s="97" t="s">
        <v>68</v>
      </c>
    </row>
    <row r="13" spans="1:17" ht="18" customHeight="1">
      <c r="A13" s="97">
        <v>8</v>
      </c>
      <c r="B13" s="97" t="str">
        <f t="shared" si="0"/>
        <v>Audi South Coast</v>
      </c>
      <c r="C13" s="180">
        <f t="shared" si="1"/>
        <v>1</v>
      </c>
      <c r="I13" s="97" t="s">
        <v>70</v>
      </c>
      <c r="J13" s="179">
        <f>SUMIFS(WORKSHEET!H$3:H$1081,WORKSHEET!$D$3:$D$1081,$I13,WORKSHEET!$B$3:$B$1081,$B$2)</f>
        <v>8</v>
      </c>
      <c r="K13" s="179">
        <f>SUMIFS(WORKSHEET!I$3:I$1081,WORKSHEET!$D$3:$D$1081,$I13,WORKSHEET!$B$3:$B$1081,$B$2)</f>
        <v>8</v>
      </c>
      <c r="L13" s="180">
        <f t="shared" si="2"/>
        <v>1</v>
      </c>
      <c r="M13" s="179">
        <v>8</v>
      </c>
      <c r="N13" s="181">
        <f t="shared" si="3"/>
        <v>1</v>
      </c>
      <c r="O13" s="179">
        <f t="shared" si="5"/>
        <v>1.008</v>
      </c>
      <c r="P13" s="179">
        <f t="shared" si="4"/>
        <v>8</v>
      </c>
      <c r="Q13" s="97" t="s">
        <v>70</v>
      </c>
    </row>
    <row r="14" spans="1:17" ht="18" customHeight="1">
      <c r="A14" s="97">
        <v>9</v>
      </c>
      <c r="B14" s="97" t="str">
        <f t="shared" si="0"/>
        <v>BMW North Scottsdale</v>
      </c>
      <c r="C14" s="180">
        <f t="shared" si="1"/>
        <v>1</v>
      </c>
      <c r="I14" s="97" t="s">
        <v>72</v>
      </c>
      <c r="J14" s="179">
        <f>SUMIFS(WORKSHEET!H$3:H$1081,WORKSHEET!$D$3:$D$1081,$I14,WORKSHEET!$B$3:$B$1081,$B$2)</f>
        <v>8</v>
      </c>
      <c r="K14" s="179">
        <f>SUMIFS(WORKSHEET!I$3:I$1081,WORKSHEET!$D$3:$D$1081,$I14,WORKSHEET!$B$3:$B$1081,$B$2)</f>
        <v>6</v>
      </c>
      <c r="L14" s="180">
        <f t="shared" si="2"/>
        <v>0.75</v>
      </c>
      <c r="M14" s="179">
        <v>9</v>
      </c>
      <c r="N14" s="181">
        <f t="shared" si="3"/>
        <v>49</v>
      </c>
      <c r="O14" s="179">
        <f t="shared" si="5"/>
        <v>49.009</v>
      </c>
      <c r="P14" s="179">
        <f t="shared" si="4"/>
        <v>50</v>
      </c>
      <c r="Q14" s="97" t="s">
        <v>72</v>
      </c>
    </row>
    <row r="15" spans="1:17" ht="18" customHeight="1">
      <c r="A15" s="97">
        <v>10</v>
      </c>
      <c r="B15" s="97" t="str">
        <f t="shared" si="0"/>
        <v>BMW of Ontario</v>
      </c>
      <c r="C15" s="180">
        <f t="shared" si="1"/>
        <v>1</v>
      </c>
      <c r="I15" s="97" t="s">
        <v>74</v>
      </c>
      <c r="J15" s="179">
        <f>SUMIFS(WORKSHEET!H$3:H$1081,WORKSHEET!$D$3:$D$1081,$I15,WORKSHEET!$B$3:$B$1081,$B$2)</f>
        <v>8</v>
      </c>
      <c r="K15" s="179">
        <f>SUMIFS(WORKSHEET!I$3:I$1081,WORKSHEET!$D$3:$D$1081,$I15,WORKSHEET!$B$3:$B$1081,$B$2)</f>
        <v>8</v>
      </c>
      <c r="L15" s="180">
        <f t="shared" si="2"/>
        <v>1</v>
      </c>
      <c r="M15" s="179">
        <v>10</v>
      </c>
      <c r="N15" s="181">
        <f t="shared" si="3"/>
        <v>1</v>
      </c>
      <c r="O15" s="179">
        <f t="shared" si="5"/>
        <v>1.01</v>
      </c>
      <c r="P15" s="179">
        <f t="shared" si="4"/>
        <v>9</v>
      </c>
      <c r="Q15" s="97" t="s">
        <v>74</v>
      </c>
    </row>
    <row r="16" spans="1:17" ht="18" customHeight="1">
      <c r="A16" s="97">
        <v>11</v>
      </c>
      <c r="B16" s="97" t="str">
        <f t="shared" si="0"/>
        <v>Capitol Acura</v>
      </c>
      <c r="C16" s="180">
        <f t="shared" si="1"/>
        <v>1</v>
      </c>
      <c r="I16" s="97" t="s">
        <v>76</v>
      </c>
      <c r="J16" s="179">
        <f>SUMIFS(WORKSHEET!H$3:H$1081,WORKSHEET!$D$3:$D$1081,$I16,WORKSHEET!$B$3:$B$1081,$B$2)</f>
        <v>8</v>
      </c>
      <c r="K16" s="179">
        <f>SUMIFS(WORKSHEET!I$3:I$1081,WORKSHEET!$D$3:$D$1081,$I16,WORKSHEET!$B$3:$B$1081,$B$2)</f>
        <v>5</v>
      </c>
      <c r="L16" s="180">
        <f t="shared" si="2"/>
        <v>0.625</v>
      </c>
      <c r="M16" s="179">
        <v>11</v>
      </c>
      <c r="N16" s="181">
        <f t="shared" si="3"/>
        <v>56</v>
      </c>
      <c r="O16" s="179">
        <f t="shared" si="5"/>
        <v>56.011000000000003</v>
      </c>
      <c r="P16" s="179">
        <f t="shared" si="4"/>
        <v>57</v>
      </c>
      <c r="Q16" s="97" t="s">
        <v>76</v>
      </c>
    </row>
    <row r="17" spans="1:17" ht="18" customHeight="1">
      <c r="A17" s="97">
        <v>12</v>
      </c>
      <c r="B17" s="97" t="str">
        <f t="shared" si="0"/>
        <v>Crevier BMW</v>
      </c>
      <c r="C17" s="180">
        <f t="shared" si="1"/>
        <v>1</v>
      </c>
      <c r="I17" s="97" t="s">
        <v>78</v>
      </c>
      <c r="J17" s="179">
        <f>SUMIFS(WORKSHEET!H$3:H$1081,WORKSHEET!$D$3:$D$1081,$I17,WORKSHEET!$B$3:$B$1081,$B$2)</f>
        <v>8</v>
      </c>
      <c r="K17" s="179">
        <f>SUMIFS(WORKSHEET!I$3:I$1081,WORKSHEET!$D$3:$D$1081,$I17,WORKSHEET!$B$3:$B$1081,$B$2)</f>
        <v>4</v>
      </c>
      <c r="L17" s="180">
        <f t="shared" si="2"/>
        <v>0.5</v>
      </c>
      <c r="M17" s="179">
        <v>12</v>
      </c>
      <c r="N17" s="181">
        <f t="shared" si="3"/>
        <v>60</v>
      </c>
      <c r="O17" s="179">
        <f t="shared" si="5"/>
        <v>60.012</v>
      </c>
      <c r="P17" s="179">
        <f t="shared" si="4"/>
        <v>61</v>
      </c>
      <c r="Q17" s="97" t="s">
        <v>78</v>
      </c>
    </row>
    <row r="18" spans="1:17" ht="18" customHeight="1">
      <c r="A18" s="97">
        <v>13</v>
      </c>
      <c r="B18" s="97" t="str">
        <f t="shared" si="0"/>
        <v>Crevier MINI</v>
      </c>
      <c r="C18" s="180">
        <f t="shared" si="1"/>
        <v>1</v>
      </c>
      <c r="I18" s="97" t="s">
        <v>84</v>
      </c>
      <c r="J18" s="179">
        <f>SUMIFS(WORKSHEET!H$3:H$1081,WORKSHEET!$D$3:$D$1081,$I18,WORKSHEET!$B$3:$B$1081,$B$2)</f>
        <v>8</v>
      </c>
      <c r="K18" s="179">
        <f>SUMIFS(WORKSHEET!I$3:I$1081,WORKSHEET!$D$3:$D$1081,$I18,WORKSHEET!$B$3:$B$1081,$B$2)</f>
        <v>6</v>
      </c>
      <c r="L18" s="180">
        <f t="shared" si="2"/>
        <v>0.75</v>
      </c>
      <c r="M18" s="179">
        <v>13</v>
      </c>
      <c r="N18" s="181">
        <f t="shared" si="3"/>
        <v>49</v>
      </c>
      <c r="O18" s="179">
        <f t="shared" si="5"/>
        <v>49.012999999999998</v>
      </c>
      <c r="P18" s="179">
        <f t="shared" si="4"/>
        <v>51</v>
      </c>
      <c r="Q18" s="97" t="s">
        <v>84</v>
      </c>
    </row>
    <row r="19" spans="1:17" ht="18" customHeight="1">
      <c r="A19" s="97">
        <v>14</v>
      </c>
      <c r="B19" s="97" t="str">
        <f t="shared" si="0"/>
        <v>Genesis of Noblesville</v>
      </c>
      <c r="C19" s="180">
        <f t="shared" si="1"/>
        <v>1</v>
      </c>
      <c r="I19" s="97" t="s">
        <v>80</v>
      </c>
      <c r="J19" s="179">
        <f>SUMIFS(WORKSHEET!H$3:H$1081,WORKSHEET!$D$3:$D$1081,$I19,WORKSHEET!$B$3:$B$1081,$B$2)</f>
        <v>8</v>
      </c>
      <c r="K19" s="179">
        <f>SUMIFS(WORKSHEET!I$3:I$1081,WORKSHEET!$D$3:$D$1081,$I19,WORKSHEET!$B$3:$B$1081,$B$2)</f>
        <v>8</v>
      </c>
      <c r="L19" s="180">
        <f t="shared" si="2"/>
        <v>1</v>
      </c>
      <c r="M19" s="179">
        <v>14</v>
      </c>
      <c r="N19" s="181">
        <f t="shared" si="3"/>
        <v>1</v>
      </c>
      <c r="O19" s="179">
        <f t="shared" si="5"/>
        <v>1.014</v>
      </c>
      <c r="P19" s="179">
        <f t="shared" si="4"/>
        <v>10</v>
      </c>
      <c r="Q19" s="97" t="s">
        <v>80</v>
      </c>
    </row>
    <row r="20" spans="1:17" ht="18" customHeight="1">
      <c r="A20" s="97">
        <v>15</v>
      </c>
      <c r="B20" s="97" t="str">
        <f t="shared" si="0"/>
        <v>Honda Leander</v>
      </c>
      <c r="C20" s="180">
        <f t="shared" si="1"/>
        <v>1</v>
      </c>
      <c r="I20" s="97" t="s">
        <v>82</v>
      </c>
      <c r="J20" s="179">
        <f>SUMIFS(WORKSHEET!H$3:H$1081,WORKSHEET!$D$3:$D$1081,$I20,WORKSHEET!$B$3:$B$1081,$B$2)</f>
        <v>8</v>
      </c>
      <c r="K20" s="179">
        <f>SUMIFS(WORKSHEET!I$3:I$1081,WORKSHEET!$D$3:$D$1081,$I20,WORKSHEET!$B$3:$B$1081,$B$2)</f>
        <v>7</v>
      </c>
      <c r="L20" s="180">
        <f t="shared" si="2"/>
        <v>0.875</v>
      </c>
      <c r="M20" s="179">
        <v>15</v>
      </c>
      <c r="N20" s="181">
        <f t="shared" si="3"/>
        <v>39</v>
      </c>
      <c r="O20" s="179">
        <f t="shared" si="5"/>
        <v>39.015000000000001</v>
      </c>
      <c r="P20" s="179">
        <f t="shared" si="4"/>
        <v>40</v>
      </c>
      <c r="Q20" s="97" t="s">
        <v>82</v>
      </c>
    </row>
    <row r="21" spans="1:17" ht="18" customHeight="1">
      <c r="A21" s="97">
        <v>16</v>
      </c>
      <c r="B21" s="97" t="str">
        <f t="shared" si="0"/>
        <v>Kearny Mesa Acura</v>
      </c>
      <c r="C21" s="180">
        <f t="shared" si="1"/>
        <v>0</v>
      </c>
      <c r="I21" s="97" t="s">
        <v>86</v>
      </c>
      <c r="J21" s="179">
        <f>SUMIFS(WORKSHEET!H$3:H$1081,WORKSHEET!$D$3:$D$1081,$I21,WORKSHEET!$B$3:$B$1081,$B$2)</f>
        <v>8</v>
      </c>
      <c r="K21" s="179">
        <f>SUMIFS(WORKSHEET!I$3:I$1081,WORKSHEET!$D$3:$D$1081,$I21,WORKSHEET!$B$3:$B$1081,$B$2)</f>
        <v>8</v>
      </c>
      <c r="L21" s="180">
        <f t="shared" si="2"/>
        <v>1</v>
      </c>
      <c r="M21" s="179">
        <v>16</v>
      </c>
      <c r="N21" s="181">
        <f t="shared" si="3"/>
        <v>1</v>
      </c>
      <c r="O21" s="179">
        <f t="shared" si="5"/>
        <v>1.016</v>
      </c>
      <c r="P21" s="179">
        <f t="shared" si="4"/>
        <v>11</v>
      </c>
      <c r="Q21" s="97" t="s">
        <v>86</v>
      </c>
    </row>
    <row r="22" spans="1:17" ht="18" customHeight="1">
      <c r="A22" s="97">
        <v>17</v>
      </c>
      <c r="B22" s="97" t="str">
        <f t="shared" si="0"/>
        <v>Kearny Mesa Toyota</v>
      </c>
      <c r="C22" s="180">
        <f t="shared" si="1"/>
        <v>1</v>
      </c>
      <c r="I22" s="97" t="s">
        <v>88</v>
      </c>
      <c r="J22" s="179">
        <f>SUMIFS(WORKSHEET!H$3:H$1081,WORKSHEET!$D$3:$D$1081,$I22,WORKSHEET!$B$3:$B$1081,$B$2)</f>
        <v>8</v>
      </c>
      <c r="K22" s="179">
        <f>SUMIFS(WORKSHEET!I$3:I$1081,WORKSHEET!$D$3:$D$1081,$I22,WORKSHEET!$B$3:$B$1081,$B$2)</f>
        <v>7</v>
      </c>
      <c r="L22" s="180">
        <f t="shared" si="2"/>
        <v>0.875</v>
      </c>
      <c r="M22" s="179">
        <v>17</v>
      </c>
      <c r="N22" s="181">
        <f t="shared" si="3"/>
        <v>39</v>
      </c>
      <c r="O22" s="179">
        <f t="shared" si="5"/>
        <v>39.017000000000003</v>
      </c>
      <c r="P22" s="179">
        <f t="shared" si="4"/>
        <v>41</v>
      </c>
      <c r="Q22" s="97" t="s">
        <v>88</v>
      </c>
    </row>
    <row r="23" spans="1:17" ht="18" customHeight="1">
      <c r="A23" s="97">
        <v>18</v>
      </c>
      <c r="B23" s="97" t="str">
        <f t="shared" si="0"/>
        <v>Land Rover Chandler</v>
      </c>
      <c r="C23" s="180">
        <f t="shared" si="1"/>
        <v>1</v>
      </c>
      <c r="I23" s="97" t="s">
        <v>90</v>
      </c>
      <c r="J23" s="179">
        <f>SUMIFS(WORKSHEET!H$3:H$1081,WORKSHEET!$D$3:$D$1081,$I23,WORKSHEET!$B$3:$B$1081,$B$2)</f>
        <v>8</v>
      </c>
      <c r="K23" s="179">
        <f>SUMIFS(WORKSHEET!I$3:I$1081,WORKSHEET!$D$3:$D$1081,$I23,WORKSHEET!$B$3:$B$1081,$B$2)</f>
        <v>8</v>
      </c>
      <c r="L23" s="180">
        <f t="shared" si="2"/>
        <v>1</v>
      </c>
      <c r="M23" s="179">
        <v>18</v>
      </c>
      <c r="N23" s="181">
        <f t="shared" si="3"/>
        <v>1</v>
      </c>
      <c r="O23" s="179">
        <f t="shared" si="5"/>
        <v>1.018</v>
      </c>
      <c r="P23" s="179">
        <f t="shared" si="4"/>
        <v>12</v>
      </c>
      <c r="Q23" s="97" t="s">
        <v>90</v>
      </c>
    </row>
    <row r="24" spans="1:17" ht="18" customHeight="1">
      <c r="A24" s="97">
        <v>19</v>
      </c>
      <c r="B24" s="97" t="str">
        <f t="shared" si="0"/>
        <v>Land Rover North Scottsdale</v>
      </c>
      <c r="C24" s="180">
        <f t="shared" si="1"/>
        <v>1</v>
      </c>
      <c r="I24" s="97" t="s">
        <v>92</v>
      </c>
      <c r="J24" s="179">
        <f>SUMIFS(WORKSHEET!H$3:H$1081,WORKSHEET!$D$3:$D$1081,$I24,WORKSHEET!$B$3:$B$1081,$B$2)</f>
        <v>8</v>
      </c>
      <c r="K24" s="179">
        <f>SUMIFS(WORKSHEET!I$3:I$1081,WORKSHEET!$D$3:$D$1081,$I24,WORKSHEET!$B$3:$B$1081,$B$2)</f>
        <v>8</v>
      </c>
      <c r="L24" s="180">
        <f t="shared" si="2"/>
        <v>1</v>
      </c>
      <c r="M24" s="179">
        <v>19</v>
      </c>
      <c r="N24" s="181">
        <f t="shared" si="3"/>
        <v>1</v>
      </c>
      <c r="O24" s="179">
        <f t="shared" si="5"/>
        <v>1.0189999999999999</v>
      </c>
      <c r="P24" s="179">
        <f t="shared" si="4"/>
        <v>13</v>
      </c>
      <c r="Q24" s="97" t="s">
        <v>92</v>
      </c>
    </row>
    <row r="25" spans="1:17" ht="18" customHeight="1">
      <c r="A25" s="97">
        <v>20</v>
      </c>
      <c r="B25" s="97" t="str">
        <f t="shared" si="0"/>
        <v>Lexus of Lakeway</v>
      </c>
      <c r="C25" s="180">
        <f t="shared" si="1"/>
        <v>1</v>
      </c>
      <c r="I25" s="97" t="s">
        <v>94</v>
      </c>
      <c r="J25" s="179">
        <f>SUMIFS(WORKSHEET!H$3:H$1081,WORKSHEET!$D$3:$D$1081,$I25,WORKSHEET!$B$3:$B$1081,$B$2)</f>
        <v>8</v>
      </c>
      <c r="K25" s="179">
        <f>SUMIFS(WORKSHEET!I$3:I$1081,WORKSHEET!$D$3:$D$1081,$I25,WORKSHEET!$B$3:$B$1081,$B$2)</f>
        <v>6</v>
      </c>
      <c r="L25" s="180">
        <f t="shared" si="2"/>
        <v>0.75</v>
      </c>
      <c r="M25" s="179">
        <v>20</v>
      </c>
      <c r="N25" s="181">
        <f t="shared" si="3"/>
        <v>49</v>
      </c>
      <c r="O25" s="179">
        <f t="shared" si="5"/>
        <v>49.02</v>
      </c>
      <c r="P25" s="179">
        <f t="shared" si="4"/>
        <v>52</v>
      </c>
      <c r="Q25" s="97" t="s">
        <v>94</v>
      </c>
    </row>
    <row r="26" spans="1:17" ht="18" customHeight="1">
      <c r="A26" s="97">
        <v>21</v>
      </c>
      <c r="B26" s="97" t="str">
        <f t="shared" si="0"/>
        <v>Lexus San Diego</v>
      </c>
      <c r="C26" s="180">
        <f t="shared" si="1"/>
        <v>1</v>
      </c>
      <c r="I26" s="97" t="s">
        <v>96</v>
      </c>
      <c r="J26" s="179">
        <f>SUMIFS(WORKSHEET!H$3:H$1081,WORKSHEET!$D$3:$D$1081,$I26,WORKSHEET!$B$3:$B$1081,$B$2)</f>
        <v>8</v>
      </c>
      <c r="K26" s="179">
        <f>SUMIFS(WORKSHEET!I$3:I$1081,WORKSHEET!$D$3:$D$1081,$I26,WORKSHEET!$B$3:$B$1081,$B$2)</f>
        <v>8</v>
      </c>
      <c r="L26" s="180">
        <f t="shared" si="2"/>
        <v>1</v>
      </c>
      <c r="M26" s="179">
        <v>21</v>
      </c>
      <c r="N26" s="181">
        <f t="shared" si="3"/>
        <v>1</v>
      </c>
      <c r="O26" s="179">
        <f t="shared" si="5"/>
        <v>1.0209999999999999</v>
      </c>
      <c r="P26" s="179">
        <f t="shared" si="4"/>
        <v>14</v>
      </c>
      <c r="Q26" s="97" t="s">
        <v>96</v>
      </c>
    </row>
    <row r="27" spans="1:17" ht="18" customHeight="1">
      <c r="A27" s="97">
        <v>22</v>
      </c>
      <c r="B27" s="97" t="str">
        <f t="shared" si="0"/>
        <v>Lincoln South Coast</v>
      </c>
      <c r="C27" s="180">
        <f t="shared" si="1"/>
        <v>1</v>
      </c>
      <c r="I27" s="97" t="s">
        <v>98</v>
      </c>
      <c r="J27" s="179">
        <f>SUMIFS(WORKSHEET!H$3:H$1081,WORKSHEET!$D$3:$D$1081,$I27,WORKSHEET!$B$3:$B$1081,$B$2)</f>
        <v>8</v>
      </c>
      <c r="K27" s="179">
        <f>SUMIFS(WORKSHEET!I$3:I$1081,WORKSHEET!$D$3:$D$1081,$I27,WORKSHEET!$B$3:$B$1081,$B$2)</f>
        <v>5</v>
      </c>
      <c r="L27" s="180">
        <f t="shared" si="2"/>
        <v>0.625</v>
      </c>
      <c r="M27" s="179">
        <v>22</v>
      </c>
      <c r="N27" s="181">
        <f t="shared" si="3"/>
        <v>56</v>
      </c>
      <c r="O27" s="179">
        <f t="shared" si="5"/>
        <v>56.021999999999998</v>
      </c>
      <c r="P27" s="179">
        <f t="shared" si="4"/>
        <v>58</v>
      </c>
      <c r="Q27" s="97" t="s">
        <v>98</v>
      </c>
    </row>
    <row r="28" spans="1:17" ht="18" customHeight="1">
      <c r="A28" s="97">
        <v>23</v>
      </c>
      <c r="B28" s="97" t="str">
        <f t="shared" si="0"/>
        <v>Mazda of Escondido</v>
      </c>
      <c r="C28" s="180">
        <f t="shared" si="1"/>
        <v>1</v>
      </c>
      <c r="I28" s="97" t="s">
        <v>100</v>
      </c>
      <c r="J28" s="179">
        <f>SUMIFS(WORKSHEET!H$3:H$1081,WORKSHEET!$D$3:$D$1081,$I28,WORKSHEET!$B$3:$B$1081,$B$2)</f>
        <v>8</v>
      </c>
      <c r="K28" s="179">
        <f>SUMIFS(WORKSHEET!I$3:I$1081,WORKSHEET!$D$3:$D$1081,$I28,WORKSHEET!$B$3:$B$1081,$B$2)</f>
        <v>8</v>
      </c>
      <c r="L28" s="180">
        <f t="shared" si="2"/>
        <v>1</v>
      </c>
      <c r="M28" s="179">
        <v>23</v>
      </c>
      <c r="N28" s="181">
        <f t="shared" si="3"/>
        <v>1</v>
      </c>
      <c r="O28" s="179">
        <f t="shared" si="5"/>
        <v>1.0229999999999999</v>
      </c>
      <c r="P28" s="179">
        <f t="shared" si="4"/>
        <v>15</v>
      </c>
      <c r="Q28" s="97" t="s">
        <v>100</v>
      </c>
    </row>
    <row r="29" spans="1:17" ht="18" customHeight="1">
      <c r="A29" s="97">
        <v>24</v>
      </c>
      <c r="B29" s="97" t="str">
        <f t="shared" si="0"/>
        <v>Mercedes-Benz of Chandler</v>
      </c>
      <c r="C29" s="180">
        <f t="shared" si="1"/>
        <v>1</v>
      </c>
      <c r="I29" s="97" t="s">
        <v>102</v>
      </c>
      <c r="J29" s="179">
        <f>SUMIFS(WORKSHEET!H$3:H$1081,WORKSHEET!$D$3:$D$1081,$I29,WORKSHEET!$B$3:$B$1081,$B$2)</f>
        <v>8</v>
      </c>
      <c r="K29" s="179">
        <f>SUMIFS(WORKSHEET!I$3:I$1081,WORKSHEET!$D$3:$D$1081,$I29,WORKSHEET!$B$3:$B$1081,$B$2)</f>
        <v>5</v>
      </c>
      <c r="L29" s="180">
        <f t="shared" si="2"/>
        <v>0.625</v>
      </c>
      <c r="M29" s="179">
        <v>24</v>
      </c>
      <c r="N29" s="181">
        <f t="shared" si="3"/>
        <v>56</v>
      </c>
      <c r="O29" s="179">
        <f t="shared" si="5"/>
        <v>56.024000000000001</v>
      </c>
      <c r="P29" s="179">
        <f t="shared" si="4"/>
        <v>59</v>
      </c>
      <c r="Q29" s="97" t="s">
        <v>102</v>
      </c>
    </row>
    <row r="30" spans="1:17" ht="18" customHeight="1">
      <c r="A30" s="97">
        <v>25</v>
      </c>
      <c r="B30" s="97" t="str">
        <f t="shared" si="0"/>
        <v>Mercedes-Benz of North Scottsdale</v>
      </c>
      <c r="C30" s="180">
        <f t="shared" si="1"/>
        <v>1</v>
      </c>
      <c r="I30" s="97" t="s">
        <v>104</v>
      </c>
      <c r="J30" s="179">
        <f>SUMIFS(WORKSHEET!H$3:H$1081,WORKSHEET!$D$3:$D$1081,$I30,WORKSHEET!$B$3:$B$1081,$B$2)</f>
        <v>8</v>
      </c>
      <c r="K30" s="179">
        <f>SUMIFS(WORKSHEET!I$3:I$1081,WORKSHEET!$D$3:$D$1081,$I30,WORKSHEET!$B$3:$B$1081,$B$2)</f>
        <v>3</v>
      </c>
      <c r="L30" s="180">
        <f t="shared" si="2"/>
        <v>0.375</v>
      </c>
      <c r="M30" s="179">
        <v>25</v>
      </c>
      <c r="N30" s="181">
        <f t="shared" si="3"/>
        <v>62</v>
      </c>
      <c r="O30" s="179">
        <f t="shared" si="5"/>
        <v>62.024999999999999</v>
      </c>
      <c r="P30" s="179">
        <f t="shared" si="4"/>
        <v>63</v>
      </c>
      <c r="Q30" s="97" t="s">
        <v>104</v>
      </c>
    </row>
    <row r="31" spans="1:17" ht="18" customHeight="1">
      <c r="A31" s="97">
        <v>26</v>
      </c>
      <c r="B31" s="97" t="str">
        <f t="shared" si="0"/>
        <v>Mercedes-Benz of San Diego</v>
      </c>
      <c r="C31" s="180">
        <f t="shared" si="1"/>
        <v>1</v>
      </c>
      <c r="I31" s="97" t="s">
        <v>106</v>
      </c>
      <c r="J31" s="179">
        <f>SUMIFS(WORKSHEET!H$3:H$1081,WORKSHEET!$D$3:$D$1081,$I31,WORKSHEET!$B$3:$B$1081,$B$2)</f>
        <v>8</v>
      </c>
      <c r="K31" s="179">
        <f>SUMIFS(WORKSHEET!I$3:I$1081,WORKSHEET!$D$3:$D$1081,$I31,WORKSHEET!$B$3:$B$1081,$B$2)</f>
        <v>7</v>
      </c>
      <c r="L31" s="180">
        <f t="shared" si="2"/>
        <v>0.875</v>
      </c>
      <c r="M31" s="179">
        <v>26</v>
      </c>
      <c r="N31" s="181">
        <f t="shared" si="3"/>
        <v>39</v>
      </c>
      <c r="O31" s="179">
        <f t="shared" si="5"/>
        <v>39.026000000000003</v>
      </c>
      <c r="P31" s="179">
        <f t="shared" si="4"/>
        <v>42</v>
      </c>
      <c r="Q31" s="97" t="s">
        <v>106</v>
      </c>
    </row>
    <row r="32" spans="1:17" ht="18" customHeight="1">
      <c r="A32" s="97">
        <v>27</v>
      </c>
      <c r="B32" s="97" t="str">
        <f t="shared" si="0"/>
        <v>MINI North Scottsdale</v>
      </c>
      <c r="C32" s="180">
        <f t="shared" si="1"/>
        <v>1</v>
      </c>
      <c r="I32" s="97" t="s">
        <v>108</v>
      </c>
      <c r="J32" s="179">
        <f>SUMIFS(WORKSHEET!H$3:H$1081,WORKSHEET!$D$3:$D$1081,$I32,WORKSHEET!$B$3:$B$1081,$B$2)</f>
        <v>8</v>
      </c>
      <c r="K32" s="179">
        <f>SUMIFS(WORKSHEET!I$3:I$1081,WORKSHEET!$D$3:$D$1081,$I32,WORKSHEET!$B$3:$B$1081,$B$2)</f>
        <v>6</v>
      </c>
      <c r="L32" s="180">
        <f t="shared" si="2"/>
        <v>0.75</v>
      </c>
      <c r="M32" s="179">
        <v>27</v>
      </c>
      <c r="N32" s="181">
        <f t="shared" si="3"/>
        <v>49</v>
      </c>
      <c r="O32" s="179">
        <f t="shared" si="5"/>
        <v>49.027000000000001</v>
      </c>
      <c r="P32" s="179">
        <f t="shared" si="4"/>
        <v>53</v>
      </c>
      <c r="Q32" s="97" t="s">
        <v>108</v>
      </c>
    </row>
    <row r="33" spans="1:17" ht="18" customHeight="1">
      <c r="A33" s="97">
        <v>28</v>
      </c>
      <c r="B33" s="97" t="str">
        <f t="shared" si="0"/>
        <v>MINI of Austin</v>
      </c>
      <c r="C33" s="180">
        <f t="shared" si="1"/>
        <v>1</v>
      </c>
      <c r="I33" s="97" t="s">
        <v>110</v>
      </c>
      <c r="J33" s="179">
        <f>SUMIFS(WORKSHEET!H$3:H$1081,WORKSHEET!$D$3:$D$1081,$I33,WORKSHEET!$B$3:$B$1081,$B$2)</f>
        <v>0</v>
      </c>
      <c r="K33" s="179">
        <f>SUMIFS(WORKSHEET!I$3:I$1081,WORKSHEET!$D$3:$D$1081,$I33,WORKSHEET!$B$3:$B$1081,$B$2)</f>
        <v>0</v>
      </c>
      <c r="L33" s="180" t="str">
        <f t="shared" ref="L33:L43" si="6">IFERROR(K33/J33,"-")</f>
        <v>-</v>
      </c>
      <c r="M33" s="179">
        <v>28</v>
      </c>
      <c r="N33" s="181">
        <f t="shared" si="3"/>
        <v>1</v>
      </c>
      <c r="O33" s="179">
        <f t="shared" ref="O33:O43" si="7">N33+(M33/1000)</f>
        <v>1.028</v>
      </c>
      <c r="P33" s="179">
        <f t="shared" si="4"/>
        <v>16</v>
      </c>
      <c r="Q33" s="97" t="s">
        <v>110</v>
      </c>
    </row>
    <row r="34" spans="1:17" ht="18" customHeight="1">
      <c r="A34" s="97">
        <v>29</v>
      </c>
      <c r="B34" s="97" t="str">
        <f t="shared" si="0"/>
        <v>MINI of Marin</v>
      </c>
      <c r="C34" s="180">
        <f t="shared" si="1"/>
        <v>1</v>
      </c>
      <c r="I34" s="97" t="s">
        <v>112</v>
      </c>
      <c r="J34" s="179">
        <f>SUMIFS(WORKSHEET!H$3:H$1081,WORKSHEET!$D$3:$D$1081,$I34,WORKSHEET!$B$3:$B$1081,$B$2)</f>
        <v>8</v>
      </c>
      <c r="K34" s="179">
        <f>SUMIFS(WORKSHEET!I$3:I$1081,WORKSHEET!$D$3:$D$1081,$I34,WORKSHEET!$B$3:$B$1081,$B$2)</f>
        <v>8</v>
      </c>
      <c r="L34" s="180">
        <f t="shared" si="6"/>
        <v>1</v>
      </c>
      <c r="M34" s="179">
        <v>29</v>
      </c>
      <c r="N34" s="181">
        <f t="shared" ref="N34:N43" si="8">COUNTIF($L$6:$L$72,"&gt;"&amp;L34)+1</f>
        <v>1</v>
      </c>
      <c r="O34" s="179">
        <f t="shared" si="7"/>
        <v>1.0289999999999999</v>
      </c>
      <c r="P34" s="179">
        <f t="shared" ref="P34:P43" si="9">RANK($O34,O$6:O$72,1)</f>
        <v>17</v>
      </c>
      <c r="Q34" s="97" t="s">
        <v>112</v>
      </c>
    </row>
    <row r="35" spans="1:17" ht="18" customHeight="1">
      <c r="A35" s="97">
        <v>30</v>
      </c>
      <c r="B35" s="97" t="str">
        <f t="shared" si="0"/>
        <v>MINI of Ontario</v>
      </c>
      <c r="C35" s="180">
        <f t="shared" si="1"/>
        <v>1</v>
      </c>
      <c r="I35" s="97" t="s">
        <v>114</v>
      </c>
      <c r="J35" s="179">
        <f>SUMIFS(WORKSHEET!H$3:H$1081,WORKSHEET!$D$3:$D$1081,$I35,WORKSHEET!$B$3:$B$1081,$B$2)</f>
        <v>8</v>
      </c>
      <c r="K35" s="179">
        <f>SUMIFS(WORKSHEET!I$3:I$1081,WORKSHEET!$D$3:$D$1081,$I35,WORKSHEET!$B$3:$B$1081,$B$2)</f>
        <v>6</v>
      </c>
      <c r="L35" s="180">
        <f t="shared" si="6"/>
        <v>0.75</v>
      </c>
      <c r="M35" s="179">
        <v>30</v>
      </c>
      <c r="N35" s="181">
        <f t="shared" si="8"/>
        <v>49</v>
      </c>
      <c r="O35" s="179">
        <f t="shared" si="7"/>
        <v>49.03</v>
      </c>
      <c r="P35" s="179">
        <f t="shared" si="9"/>
        <v>54</v>
      </c>
      <c r="Q35" s="97" t="s">
        <v>114</v>
      </c>
    </row>
    <row r="36" spans="1:17" ht="18" customHeight="1">
      <c r="A36" s="97">
        <v>31</v>
      </c>
      <c r="B36" s="97" t="str">
        <f t="shared" si="0"/>
        <v>MINI of San Diego</v>
      </c>
      <c r="C36" s="180">
        <f t="shared" si="1"/>
        <v>1</v>
      </c>
      <c r="I36" s="97" t="s">
        <v>116</v>
      </c>
      <c r="J36" s="179">
        <f>SUMIFS(WORKSHEET!H$3:H$1081,WORKSHEET!$D$3:$D$1081,$I36,WORKSHEET!$B$3:$B$1081,$B$2)</f>
        <v>8</v>
      </c>
      <c r="K36" s="179">
        <f>SUMIFS(WORKSHEET!I$3:I$1081,WORKSHEET!$D$3:$D$1081,$I36,WORKSHEET!$B$3:$B$1081,$B$2)</f>
        <v>8</v>
      </c>
      <c r="L36" s="180">
        <f t="shared" si="6"/>
        <v>1</v>
      </c>
      <c r="M36" s="179">
        <v>31</v>
      </c>
      <c r="N36" s="181">
        <f t="shared" si="8"/>
        <v>1</v>
      </c>
      <c r="O36" s="179">
        <f t="shared" si="7"/>
        <v>1.0309999999999999</v>
      </c>
      <c r="P36" s="179">
        <f t="shared" si="9"/>
        <v>18</v>
      </c>
      <c r="Q36" s="97" t="s">
        <v>116</v>
      </c>
    </row>
    <row r="37" spans="1:17" ht="18" customHeight="1">
      <c r="A37" s="97">
        <v>32</v>
      </c>
      <c r="B37" s="97" t="str">
        <f t="shared" si="0"/>
        <v>MINI of Tempe</v>
      </c>
      <c r="C37" s="180">
        <f t="shared" si="1"/>
        <v>1</v>
      </c>
      <c r="I37" s="97" t="s">
        <v>118</v>
      </c>
      <c r="J37" s="179">
        <f>SUMIFS(WORKSHEET!H$3:H$1081,WORKSHEET!$D$3:$D$1081,$I37,WORKSHEET!$B$3:$B$1081,$B$2)</f>
        <v>8</v>
      </c>
      <c r="K37" s="179">
        <f>SUMIFS(WORKSHEET!I$3:I$1081,WORKSHEET!$D$3:$D$1081,$I37,WORKSHEET!$B$3:$B$1081,$B$2)</f>
        <v>8</v>
      </c>
      <c r="L37" s="180">
        <f t="shared" si="6"/>
        <v>1</v>
      </c>
      <c r="M37" s="179">
        <v>32</v>
      </c>
      <c r="N37" s="181">
        <f t="shared" si="8"/>
        <v>1</v>
      </c>
      <c r="O37" s="179">
        <f t="shared" si="7"/>
        <v>1.032</v>
      </c>
      <c r="P37" s="179">
        <f t="shared" si="9"/>
        <v>19</v>
      </c>
      <c r="Q37" s="97" t="s">
        <v>118</v>
      </c>
    </row>
    <row r="38" spans="1:17" ht="18" customHeight="1">
      <c r="A38" s="97">
        <v>33</v>
      </c>
      <c r="B38" s="97" t="str">
        <f t="shared" ref="B38:B43" si="10">VLOOKUP($A38,$P$6:$Q$72,2,FALSE)</f>
        <v>Motorwerks MINI</v>
      </c>
      <c r="C38" s="180">
        <f t="shared" si="1"/>
        <v>1</v>
      </c>
      <c r="I38" s="97" t="s">
        <v>120</v>
      </c>
      <c r="J38" s="179">
        <f>SUMIFS(WORKSHEET!H$3:H$1081,WORKSHEET!$D$3:$D$1081,$I38,WORKSHEET!$B$3:$B$1081,$B$2)</f>
        <v>8</v>
      </c>
      <c r="K38" s="179">
        <f>SUMIFS(WORKSHEET!I$3:I$1081,WORKSHEET!$D$3:$D$1081,$I38,WORKSHEET!$B$3:$B$1081,$B$2)</f>
        <v>5</v>
      </c>
      <c r="L38" s="180">
        <f t="shared" si="6"/>
        <v>0.625</v>
      </c>
      <c r="M38" s="179">
        <v>33</v>
      </c>
      <c r="N38" s="181">
        <f t="shared" si="8"/>
        <v>56</v>
      </c>
      <c r="O38" s="179">
        <f t="shared" si="7"/>
        <v>56.033000000000001</v>
      </c>
      <c r="P38" s="179">
        <f t="shared" si="9"/>
        <v>60</v>
      </c>
      <c r="Q38" s="97" t="s">
        <v>120</v>
      </c>
    </row>
    <row r="39" spans="1:17" ht="18" customHeight="1">
      <c r="A39" s="97">
        <v>34</v>
      </c>
      <c r="B39" s="97" t="str">
        <f t="shared" si="10"/>
        <v>Penske Chevrolet</v>
      </c>
      <c r="C39" s="180">
        <f t="shared" si="1"/>
        <v>1</v>
      </c>
      <c r="I39" s="97" t="s">
        <v>122</v>
      </c>
      <c r="J39" s="179">
        <f>SUMIFS(WORKSHEET!H$3:H$1081,WORKSHEET!$D$3:$D$1081,$I39,WORKSHEET!$B$3:$B$1081,$B$2)</f>
        <v>8</v>
      </c>
      <c r="K39" s="179">
        <f>SUMIFS(WORKSHEET!I$3:I$1081,WORKSHEET!$D$3:$D$1081,$I39,WORKSHEET!$B$3:$B$1081,$B$2)</f>
        <v>7</v>
      </c>
      <c r="L39" s="180">
        <f t="shared" si="6"/>
        <v>0.875</v>
      </c>
      <c r="M39" s="179">
        <v>34</v>
      </c>
      <c r="N39" s="181">
        <f t="shared" si="8"/>
        <v>39</v>
      </c>
      <c r="O39" s="179">
        <f t="shared" si="7"/>
        <v>39.033999999999999</v>
      </c>
      <c r="P39" s="179">
        <f t="shared" si="9"/>
        <v>43</v>
      </c>
      <c r="Q39" s="97" t="s">
        <v>122</v>
      </c>
    </row>
    <row r="40" spans="1:17" ht="18" customHeight="1">
      <c r="A40" s="97">
        <v>35</v>
      </c>
      <c r="B40" s="97" t="str">
        <f t="shared" si="10"/>
        <v>Round Rock Hyundai</v>
      </c>
      <c r="C40" s="180">
        <f t="shared" si="1"/>
        <v>1</v>
      </c>
      <c r="I40" s="97" t="s">
        <v>124</v>
      </c>
      <c r="J40" s="179">
        <f>SUMIFS(WORKSHEET!H$3:H$1081,WORKSHEET!$D$3:$D$1081,$I40,WORKSHEET!$B$3:$B$1081,$B$2)</f>
        <v>8</v>
      </c>
      <c r="K40" s="179">
        <f>SUMIFS(WORKSHEET!I$3:I$1081,WORKSHEET!$D$3:$D$1081,$I40,WORKSHEET!$B$3:$B$1081,$B$2)</f>
        <v>8</v>
      </c>
      <c r="L40" s="180">
        <f t="shared" si="6"/>
        <v>1</v>
      </c>
      <c r="M40" s="179">
        <v>35</v>
      </c>
      <c r="N40" s="181">
        <f t="shared" si="8"/>
        <v>1</v>
      </c>
      <c r="O40" s="179">
        <f t="shared" si="7"/>
        <v>1.0349999999999999</v>
      </c>
      <c r="P40" s="179">
        <f t="shared" si="9"/>
        <v>20</v>
      </c>
      <c r="Q40" s="97" t="s">
        <v>124</v>
      </c>
    </row>
    <row r="41" spans="1:17" ht="18" customHeight="1">
      <c r="A41" s="97">
        <v>36</v>
      </c>
      <c r="B41" s="97" t="str">
        <f t="shared" si="10"/>
        <v>Tempe Honda</v>
      </c>
      <c r="C41" s="180">
        <f t="shared" si="1"/>
        <v>1</v>
      </c>
      <c r="I41" s="97" t="s">
        <v>126</v>
      </c>
      <c r="J41" s="179">
        <f>SUMIFS(WORKSHEET!H$3:H$1081,WORKSHEET!$D$3:$D$1081,$I41,WORKSHEET!$B$3:$B$1081,$B$2)</f>
        <v>8</v>
      </c>
      <c r="K41" s="179">
        <f>SUMIFS(WORKSHEET!I$3:I$1081,WORKSHEET!$D$3:$D$1081,$I41,WORKSHEET!$B$3:$B$1081,$B$2)</f>
        <v>8</v>
      </c>
      <c r="L41" s="180">
        <f t="shared" si="6"/>
        <v>1</v>
      </c>
      <c r="M41" s="179">
        <v>36</v>
      </c>
      <c r="N41" s="181">
        <f t="shared" si="8"/>
        <v>1</v>
      </c>
      <c r="O41" s="179">
        <f t="shared" si="7"/>
        <v>1.036</v>
      </c>
      <c r="P41" s="179">
        <f t="shared" si="9"/>
        <v>21</v>
      </c>
      <c r="Q41" s="97" t="s">
        <v>126</v>
      </c>
    </row>
    <row r="42" spans="1:17" ht="18" customHeight="1">
      <c r="A42" s="97">
        <v>37</v>
      </c>
      <c r="B42" s="97" t="str">
        <f t="shared" si="10"/>
        <v>Toyota of Clovis</v>
      </c>
      <c r="C42" s="180">
        <f t="shared" si="1"/>
        <v>1</v>
      </c>
      <c r="I42" s="97" t="s">
        <v>128</v>
      </c>
      <c r="J42" s="179">
        <f>SUMIFS(WORKSHEET!H$3:H$1081,WORKSHEET!$D$3:$D$1081,$I42,WORKSHEET!$B$3:$B$1081,$B$2)</f>
        <v>8</v>
      </c>
      <c r="K42" s="179">
        <f>SUMIFS(WORKSHEET!I$3:I$1081,WORKSHEET!$D$3:$D$1081,$I42,WORKSHEET!$B$3:$B$1081,$B$2)</f>
        <v>8</v>
      </c>
      <c r="L42" s="180">
        <f t="shared" si="6"/>
        <v>1</v>
      </c>
      <c r="M42" s="179">
        <v>37</v>
      </c>
      <c r="N42" s="181">
        <f t="shared" si="8"/>
        <v>1</v>
      </c>
      <c r="O42" s="179">
        <f t="shared" si="7"/>
        <v>1.0369999999999999</v>
      </c>
      <c r="P42" s="179">
        <f t="shared" si="9"/>
        <v>22</v>
      </c>
      <c r="Q42" s="97" t="s">
        <v>128</v>
      </c>
    </row>
    <row r="43" spans="1:17" ht="18" customHeight="1">
      <c r="A43" s="97">
        <v>38</v>
      </c>
      <c r="B43" s="97" t="str">
        <f t="shared" si="10"/>
        <v>Volkswagen North Scottsdale</v>
      </c>
      <c r="C43" s="180">
        <f t="shared" si="1"/>
        <v>1</v>
      </c>
      <c r="I43" s="97" t="s">
        <v>130</v>
      </c>
      <c r="J43" s="179">
        <f>SUMIFS(WORKSHEET!H$3:H$1081,WORKSHEET!$D$3:$D$1081,$I43,WORKSHEET!$B$3:$B$1081,$B$2)</f>
        <v>8</v>
      </c>
      <c r="K43" s="179">
        <f>SUMIFS(WORKSHEET!I$3:I$1081,WORKSHEET!$D$3:$D$1081,$I43,WORKSHEET!$B$3:$B$1081,$B$2)</f>
        <v>8</v>
      </c>
      <c r="L43" s="180">
        <f t="shared" si="6"/>
        <v>1</v>
      </c>
      <c r="M43" s="179">
        <v>38</v>
      </c>
      <c r="N43" s="181">
        <f t="shared" si="8"/>
        <v>1</v>
      </c>
      <c r="O43" s="179">
        <f t="shared" si="7"/>
        <v>1.038</v>
      </c>
      <c r="P43" s="179">
        <f t="shared" si="9"/>
        <v>23</v>
      </c>
      <c r="Q43" s="97" t="s">
        <v>130</v>
      </c>
    </row>
    <row r="44" spans="1:17" ht="18" customHeight="1">
      <c r="A44" s="97">
        <v>39</v>
      </c>
      <c r="B44" s="97" t="str">
        <f>VLOOKUP($A44,$P$6:$Q$72,2,FALSE)</f>
        <v>Volkswagen South Coast</v>
      </c>
      <c r="C44" s="180">
        <f t="shared" si="1"/>
        <v>1</v>
      </c>
      <c r="I44" s="97" t="s">
        <v>132</v>
      </c>
      <c r="J44" s="179">
        <f>SUMIFS(WORKSHEET!H$3:H$1081,WORKSHEET!$D$3:$D$1081,$I44,WORKSHEET!$B$3:$B$1081,$B$2)</f>
        <v>8</v>
      </c>
      <c r="K44" s="179">
        <f>SUMIFS(WORKSHEET!I$3:I$1081,WORKSHEET!$D$3:$D$1081,$I44,WORKSHEET!$B$3:$B$1081,$B$2)</f>
        <v>8</v>
      </c>
      <c r="L44" s="180">
        <f t="shared" si="2"/>
        <v>1</v>
      </c>
      <c r="M44" s="179">
        <v>39</v>
      </c>
      <c r="N44" s="181">
        <f t="shared" si="3"/>
        <v>1</v>
      </c>
      <c r="O44" s="179">
        <f t="shared" si="5"/>
        <v>1.0389999999999999</v>
      </c>
      <c r="P44" s="179">
        <f t="shared" si="4"/>
        <v>24</v>
      </c>
      <c r="Q44" s="97" t="s">
        <v>132</v>
      </c>
    </row>
    <row r="45" spans="1:17" ht="18" customHeight="1">
      <c r="A45" s="97">
        <v>40</v>
      </c>
      <c r="B45" s="97" t="str">
        <f>VLOOKUP($A45,$P$6:$Q$72,2,FALSE)</f>
        <v>BMW of San Diego</v>
      </c>
      <c r="C45" s="180">
        <f t="shared" si="1"/>
        <v>0.875</v>
      </c>
      <c r="I45" s="97" t="s">
        <v>134</v>
      </c>
      <c r="J45" s="179">
        <f>SUMIFS(WORKSHEET!H$3:H$1081,WORKSHEET!$D$3:$D$1081,$I45,WORKSHEET!$B$3:$B$1081,$B$2)</f>
        <v>8</v>
      </c>
      <c r="K45" s="179">
        <f>SUMIFS(WORKSHEET!I$3:I$1081,WORKSHEET!$D$3:$D$1081,$I45,WORKSHEET!$B$3:$B$1081,$B$2)</f>
        <v>8</v>
      </c>
      <c r="L45" s="180">
        <f t="shared" si="2"/>
        <v>1</v>
      </c>
      <c r="M45" s="179">
        <v>40</v>
      </c>
      <c r="N45" s="181">
        <f t="shared" si="3"/>
        <v>1</v>
      </c>
      <c r="O45" s="179">
        <f t="shared" si="5"/>
        <v>1.04</v>
      </c>
      <c r="P45" s="179">
        <f t="shared" si="4"/>
        <v>25</v>
      </c>
      <c r="Q45" s="97" t="s">
        <v>134</v>
      </c>
    </row>
    <row r="46" spans="1:17" ht="18" customHeight="1">
      <c r="A46" s="97">
        <v>41</v>
      </c>
      <c r="B46" s="97" t="str">
        <f>VLOOKUP($A46,$P$6:$Q$72,2,FALSE)</f>
        <v>Capitol Honda</v>
      </c>
      <c r="C46" s="180">
        <f t="shared" si="1"/>
        <v>0.875</v>
      </c>
      <c r="I46" s="97" t="s">
        <v>136</v>
      </c>
      <c r="J46" s="179">
        <f>SUMIFS(WORKSHEET!H$3:H$1081,WORKSHEET!$D$3:$D$1081,$I46,WORKSHEET!$B$3:$B$1081,$B$2)</f>
        <v>8</v>
      </c>
      <c r="K46" s="179">
        <f>SUMIFS(WORKSHEET!I$3:I$1081,WORKSHEET!$D$3:$D$1081,$I46,WORKSHEET!$B$3:$B$1081,$B$2)</f>
        <v>8</v>
      </c>
      <c r="L46" s="180">
        <f t="shared" si="2"/>
        <v>1</v>
      </c>
      <c r="M46" s="179">
        <v>41</v>
      </c>
      <c r="N46" s="181">
        <f t="shared" si="3"/>
        <v>1</v>
      </c>
      <c r="O46" s="179">
        <f t="shared" si="5"/>
        <v>1.0409999999999999</v>
      </c>
      <c r="P46" s="179">
        <f t="shared" si="4"/>
        <v>26</v>
      </c>
      <c r="Q46" s="97" t="s">
        <v>136</v>
      </c>
    </row>
    <row r="47" spans="1:17" ht="18" customHeight="1">
      <c r="A47" s="97">
        <v>42</v>
      </c>
      <c r="B47" s="97" t="str">
        <f>VLOOKUP($A47,$P$6:$Q$72,2,FALSE)</f>
        <v>Hyundai of Noblesville</v>
      </c>
      <c r="C47" s="180">
        <f t="shared" si="1"/>
        <v>0.875</v>
      </c>
      <c r="I47" s="97" t="s">
        <v>138</v>
      </c>
      <c r="J47" s="179">
        <f>SUMIFS(WORKSHEET!H$3:H$1081,WORKSHEET!$D$3:$D$1081,$I47,WORKSHEET!$B$3:$B$1081,$B$2)</f>
        <v>8</v>
      </c>
      <c r="K47" s="179">
        <f>SUMIFS(WORKSHEET!I$3:I$1081,WORKSHEET!$D$3:$D$1081,$I47,WORKSHEET!$B$3:$B$1081,$B$2)</f>
        <v>8</v>
      </c>
      <c r="L47" s="180">
        <f t="shared" si="2"/>
        <v>1</v>
      </c>
      <c r="M47" s="179">
        <v>42</v>
      </c>
      <c r="N47" s="181">
        <f t="shared" si="3"/>
        <v>1</v>
      </c>
      <c r="O47" s="179">
        <f t="shared" si="5"/>
        <v>1.042</v>
      </c>
      <c r="P47" s="179">
        <f t="shared" si="4"/>
        <v>27</v>
      </c>
      <c r="Q47" s="97" t="s">
        <v>138</v>
      </c>
    </row>
    <row r="48" spans="1:17" ht="18" customHeight="1">
      <c r="A48" s="97">
        <v>43</v>
      </c>
      <c r="B48" s="97" t="str">
        <f t="shared" ref="B48:B69" si="11">VLOOKUP($A48,$P$6:$Q$72,2,FALSE)</f>
        <v>Lexus of Chandler</v>
      </c>
      <c r="C48" s="180">
        <f t="shared" ref="C48:C69" si="12">SUMIFS($L$6:$L$72,$I$6:$I$72,$B48)</f>
        <v>0.875</v>
      </c>
      <c r="I48" s="97" t="s">
        <v>140</v>
      </c>
      <c r="J48" s="179">
        <f>SUMIFS(WORKSHEET!H$3:H$1081,WORKSHEET!$D$3:$D$1081,$I48,WORKSHEET!$B$3:$B$1081,$B$2)</f>
        <v>8</v>
      </c>
      <c r="K48" s="179">
        <f>SUMIFS(WORKSHEET!I$3:I$1081,WORKSHEET!$D$3:$D$1081,$I48,WORKSHEET!$B$3:$B$1081,$B$2)</f>
        <v>8</v>
      </c>
      <c r="L48" s="180">
        <f t="shared" si="2"/>
        <v>1</v>
      </c>
      <c r="M48" s="179">
        <v>43</v>
      </c>
      <c r="N48" s="181">
        <f t="shared" ref="N48:N69" si="13">COUNTIF($L$6:$L$72,"&gt;"&amp;L48)+1</f>
        <v>1</v>
      </c>
      <c r="O48" s="179">
        <f t="shared" si="5"/>
        <v>1.0429999999999999</v>
      </c>
      <c r="P48" s="179">
        <f t="shared" ref="P48:P69" si="14">RANK($O48,O$6:O$72,1)</f>
        <v>28</v>
      </c>
      <c r="Q48" s="97" t="s">
        <v>140</v>
      </c>
    </row>
    <row r="49" spans="1:17" ht="18" customHeight="1">
      <c r="A49" s="97">
        <v>44</v>
      </c>
      <c r="B49" s="97" t="str">
        <f t="shared" si="11"/>
        <v>Penske Honda</v>
      </c>
      <c r="C49" s="180">
        <f t="shared" si="12"/>
        <v>0.875</v>
      </c>
      <c r="I49" s="97" t="s">
        <v>142</v>
      </c>
      <c r="J49" s="179">
        <f>SUMIFS(WORKSHEET!H$3:H$1081,WORKSHEET!$D$3:$D$1081,$I49,WORKSHEET!$B$3:$B$1081,$B$2)</f>
        <v>8</v>
      </c>
      <c r="K49" s="179">
        <f>SUMIFS(WORKSHEET!I$3:I$1081,WORKSHEET!$D$3:$D$1081,$I49,WORKSHEET!$B$3:$B$1081,$B$2)</f>
        <v>8</v>
      </c>
      <c r="L49" s="180">
        <f t="shared" ref="L49:L69" si="15">IFERROR(K49/J49,"-")</f>
        <v>1</v>
      </c>
      <c r="M49" s="179">
        <v>44</v>
      </c>
      <c r="N49" s="181">
        <f t="shared" si="13"/>
        <v>1</v>
      </c>
      <c r="O49" s="179">
        <f t="shared" si="5"/>
        <v>1.044</v>
      </c>
      <c r="P49" s="179">
        <f t="shared" si="14"/>
        <v>29</v>
      </c>
      <c r="Q49" s="97" t="s">
        <v>142</v>
      </c>
    </row>
    <row r="50" spans="1:17" ht="18" customHeight="1">
      <c r="A50" s="97">
        <v>45</v>
      </c>
      <c r="B50" s="97" t="str">
        <f t="shared" si="11"/>
        <v>Porsche North Scottsdale</v>
      </c>
      <c r="C50" s="180">
        <f t="shared" si="12"/>
        <v>0.875</v>
      </c>
      <c r="I50" s="97" t="s">
        <v>144</v>
      </c>
      <c r="J50" s="179">
        <f>SUMIFS(WORKSHEET!H$3:H$1081,WORKSHEET!$D$3:$D$1081,$I50,WORKSHEET!$B$3:$B$1081,$B$2)</f>
        <v>8</v>
      </c>
      <c r="K50" s="179">
        <f>SUMIFS(WORKSHEET!I$3:I$1081,WORKSHEET!$D$3:$D$1081,$I50,WORKSHEET!$B$3:$B$1081,$B$2)</f>
        <v>8</v>
      </c>
      <c r="L50" s="180">
        <f t="shared" si="15"/>
        <v>1</v>
      </c>
      <c r="M50" s="179">
        <v>45</v>
      </c>
      <c r="N50" s="181">
        <f t="shared" si="13"/>
        <v>1</v>
      </c>
      <c r="O50" s="179">
        <f t="shared" si="5"/>
        <v>1.0449999999999999</v>
      </c>
      <c r="P50" s="179">
        <f t="shared" si="14"/>
        <v>30</v>
      </c>
      <c r="Q50" s="97" t="s">
        <v>144</v>
      </c>
    </row>
    <row r="51" spans="1:17" ht="18" customHeight="1">
      <c r="A51" s="97">
        <v>46</v>
      </c>
      <c r="B51" s="97" t="str">
        <f t="shared" si="11"/>
        <v>Porsche Stevens Creek</v>
      </c>
      <c r="C51" s="180">
        <f t="shared" si="12"/>
        <v>0.875</v>
      </c>
      <c r="I51" s="97" t="s">
        <v>146</v>
      </c>
      <c r="J51" s="179">
        <f>SUMIFS(WORKSHEET!H$3:H$1081,WORKSHEET!$D$3:$D$1081,$I51,WORKSHEET!$B$3:$B$1081,$B$2)</f>
        <v>8</v>
      </c>
      <c r="K51" s="179">
        <f>SUMIFS(WORKSHEET!I$3:I$1081,WORKSHEET!$D$3:$D$1081,$I51,WORKSHEET!$B$3:$B$1081,$B$2)</f>
        <v>8</v>
      </c>
      <c r="L51" s="180">
        <f t="shared" si="15"/>
        <v>1</v>
      </c>
      <c r="M51" s="179">
        <v>46</v>
      </c>
      <c r="N51" s="181">
        <f t="shared" si="13"/>
        <v>1</v>
      </c>
      <c r="O51" s="179">
        <f t="shared" si="5"/>
        <v>1.046</v>
      </c>
      <c r="P51" s="179">
        <f t="shared" si="14"/>
        <v>31</v>
      </c>
      <c r="Q51" s="97" t="s">
        <v>146</v>
      </c>
    </row>
    <row r="52" spans="1:17" ht="18" customHeight="1">
      <c r="A52" s="97">
        <v>47</v>
      </c>
      <c r="B52" s="97" t="str">
        <f t="shared" si="11"/>
        <v>Round Rock Honda</v>
      </c>
      <c r="C52" s="180">
        <f t="shared" si="12"/>
        <v>0.875</v>
      </c>
      <c r="I52" s="97" t="s">
        <v>148</v>
      </c>
      <c r="J52" s="179">
        <f>SUMIFS(WORKSHEET!H$3:H$1081,WORKSHEET!$D$3:$D$1081,$I52,WORKSHEET!$B$3:$B$1081,$B$2)</f>
        <v>8</v>
      </c>
      <c r="K52" s="179">
        <f>SUMIFS(WORKSHEET!I$3:I$1081,WORKSHEET!$D$3:$D$1081,$I52,WORKSHEET!$B$3:$B$1081,$B$2)</f>
        <v>8</v>
      </c>
      <c r="L52" s="180">
        <f t="shared" si="15"/>
        <v>1</v>
      </c>
      <c r="M52" s="179">
        <v>47</v>
      </c>
      <c r="N52" s="181">
        <f t="shared" si="13"/>
        <v>1</v>
      </c>
      <c r="O52" s="179">
        <f t="shared" si="5"/>
        <v>1.0469999999999999</v>
      </c>
      <c r="P52" s="179">
        <f t="shared" si="14"/>
        <v>32</v>
      </c>
      <c r="Q52" s="97" t="s">
        <v>148</v>
      </c>
    </row>
    <row r="53" spans="1:17" ht="18" customHeight="1">
      <c r="A53" s="97">
        <v>48</v>
      </c>
      <c r="B53" s="97" t="str">
        <f t="shared" si="11"/>
        <v>Round Rock Toyota</v>
      </c>
      <c r="C53" s="180">
        <f t="shared" si="12"/>
        <v>0.875</v>
      </c>
      <c r="I53" s="97" t="s">
        <v>150</v>
      </c>
      <c r="J53" s="179">
        <f>SUMIFS(WORKSHEET!H$3:H$1081,WORKSHEET!$D$3:$D$1081,$I53,WORKSHEET!$B$3:$B$1081,$B$2)</f>
        <v>8</v>
      </c>
      <c r="K53" s="179">
        <f>SUMIFS(WORKSHEET!I$3:I$1081,WORKSHEET!$D$3:$D$1081,$I53,WORKSHEET!$B$3:$B$1081,$B$2)</f>
        <v>6</v>
      </c>
      <c r="L53" s="180">
        <f t="shared" si="15"/>
        <v>0.75</v>
      </c>
      <c r="M53" s="179">
        <v>48</v>
      </c>
      <c r="N53" s="181">
        <f t="shared" si="13"/>
        <v>49</v>
      </c>
      <c r="O53" s="179">
        <f t="shared" si="5"/>
        <v>49.048000000000002</v>
      </c>
      <c r="P53" s="179">
        <f t="shared" si="14"/>
        <v>55</v>
      </c>
      <c r="Q53" s="97" t="s">
        <v>150</v>
      </c>
    </row>
    <row r="54" spans="1:17" ht="18" customHeight="1">
      <c r="A54" s="97">
        <v>49</v>
      </c>
      <c r="B54" s="97" t="str">
        <f t="shared" si="11"/>
        <v>Toyota of Surprise</v>
      </c>
      <c r="C54" s="180">
        <f t="shared" si="12"/>
        <v>0.875</v>
      </c>
      <c r="I54" s="97" t="s">
        <v>152</v>
      </c>
      <c r="J54" s="179">
        <f>SUMIFS(WORKSHEET!H$3:H$1081,WORKSHEET!$D$3:$D$1081,$I54,WORKSHEET!$B$3:$B$1081,$B$2)</f>
        <v>8</v>
      </c>
      <c r="K54" s="179">
        <f>SUMIFS(WORKSHEET!I$3:I$1081,WORKSHEET!$D$3:$D$1081,$I54,WORKSHEET!$B$3:$B$1081,$B$2)</f>
        <v>8</v>
      </c>
      <c r="L54" s="180">
        <f t="shared" si="15"/>
        <v>1</v>
      </c>
      <c r="M54" s="179">
        <v>49</v>
      </c>
      <c r="N54" s="181">
        <f t="shared" si="13"/>
        <v>1</v>
      </c>
      <c r="O54" s="179">
        <f t="shared" si="5"/>
        <v>1.0489999999999999</v>
      </c>
      <c r="P54" s="179">
        <f t="shared" si="14"/>
        <v>33</v>
      </c>
      <c r="Q54" s="97" t="s">
        <v>152</v>
      </c>
    </row>
    <row r="55" spans="1:17" ht="18" customHeight="1">
      <c r="A55" s="97">
        <v>50</v>
      </c>
      <c r="B55" s="97" t="str">
        <f t="shared" si="11"/>
        <v>Bentley Scottsdale</v>
      </c>
      <c r="C55" s="180">
        <f t="shared" si="12"/>
        <v>0.75</v>
      </c>
      <c r="I55" s="97" t="s">
        <v>154</v>
      </c>
      <c r="J55" s="179">
        <f>SUMIFS(WORKSHEET!H$3:H$1081,WORKSHEET!$D$3:$D$1081,$I55,WORKSHEET!$B$3:$B$1081,$B$2)</f>
        <v>8</v>
      </c>
      <c r="K55" s="179">
        <f>SUMIFS(WORKSHEET!I$3:I$1081,WORKSHEET!$D$3:$D$1081,$I55,WORKSHEET!$B$3:$B$1081,$B$2)</f>
        <v>8</v>
      </c>
      <c r="L55" s="180">
        <f t="shared" si="15"/>
        <v>1</v>
      </c>
      <c r="M55" s="179">
        <v>50</v>
      </c>
      <c r="N55" s="181">
        <f t="shared" si="13"/>
        <v>1</v>
      </c>
      <c r="O55" s="179">
        <f t="shared" si="5"/>
        <v>1.05</v>
      </c>
      <c r="P55" s="179">
        <f t="shared" si="14"/>
        <v>34</v>
      </c>
      <c r="Q55" s="97" t="s">
        <v>154</v>
      </c>
    </row>
    <row r="56" spans="1:17" ht="18" customHeight="1">
      <c r="A56" s="97">
        <v>51</v>
      </c>
      <c r="B56" s="97" t="str">
        <f t="shared" si="11"/>
        <v>BMW/MINI of Escondido</v>
      </c>
      <c r="C56" s="180">
        <f t="shared" si="12"/>
        <v>0.75</v>
      </c>
      <c r="I56" s="97" t="s">
        <v>156</v>
      </c>
      <c r="J56" s="179">
        <f>SUMIFS(WORKSHEET!H$3:H$1081,WORKSHEET!$D$3:$D$1081,$I56,WORKSHEET!$B$3:$B$1081,$B$2)</f>
        <v>8</v>
      </c>
      <c r="K56" s="179">
        <f>SUMIFS(WORKSHEET!I$3:I$1081,WORKSHEET!$D$3:$D$1081,$I56,WORKSHEET!$B$3:$B$1081,$B$2)</f>
        <v>7</v>
      </c>
      <c r="L56" s="180">
        <f t="shared" si="15"/>
        <v>0.875</v>
      </c>
      <c r="M56" s="179">
        <v>51</v>
      </c>
      <c r="N56" s="181">
        <f t="shared" si="13"/>
        <v>39</v>
      </c>
      <c r="O56" s="179">
        <f t="shared" si="5"/>
        <v>39.051000000000002</v>
      </c>
      <c r="P56" s="179">
        <f t="shared" si="14"/>
        <v>44</v>
      </c>
      <c r="Q56" s="97" t="s">
        <v>156</v>
      </c>
    </row>
    <row r="57" spans="1:17" ht="18" customHeight="1">
      <c r="A57" s="97">
        <v>52</v>
      </c>
      <c r="B57" s="97" t="str">
        <f t="shared" si="11"/>
        <v>East Madison Toyota</v>
      </c>
      <c r="C57" s="180">
        <f t="shared" si="12"/>
        <v>0.75</v>
      </c>
      <c r="I57" s="97" t="s">
        <v>158</v>
      </c>
      <c r="J57" s="179">
        <f>SUMIFS(WORKSHEET!H$3:H$1081,WORKSHEET!$D$3:$D$1081,$I57,WORKSHEET!$B$3:$B$1081,$B$2)</f>
        <v>8</v>
      </c>
      <c r="K57" s="179">
        <f>SUMIFS(WORKSHEET!I$3:I$1081,WORKSHEET!$D$3:$D$1081,$I57,WORKSHEET!$B$3:$B$1081,$B$2)</f>
        <v>6</v>
      </c>
      <c r="L57" s="180">
        <f t="shared" si="15"/>
        <v>0.75</v>
      </c>
      <c r="M57" s="179">
        <v>52</v>
      </c>
      <c r="N57" s="181">
        <f t="shared" si="13"/>
        <v>49</v>
      </c>
      <c r="O57" s="179">
        <f t="shared" si="5"/>
        <v>49.052</v>
      </c>
      <c r="P57" s="179">
        <f t="shared" si="14"/>
        <v>56</v>
      </c>
      <c r="Q57" s="97" t="s">
        <v>158</v>
      </c>
    </row>
    <row r="58" spans="1:17" ht="18" customHeight="1">
      <c r="A58" s="97">
        <v>53</v>
      </c>
      <c r="B58" s="97" t="str">
        <f t="shared" si="11"/>
        <v>Hyundai of Pharr</v>
      </c>
      <c r="C58" s="180">
        <f t="shared" si="12"/>
        <v>0.75</v>
      </c>
      <c r="I58" s="97" t="s">
        <v>160</v>
      </c>
      <c r="J58" s="179">
        <f>SUMIFS(WORKSHEET!H$3:H$1081,WORKSHEET!$D$3:$D$1081,$I58,WORKSHEET!$B$3:$B$1081,$B$2)</f>
        <v>8</v>
      </c>
      <c r="K58" s="179">
        <f>SUMIFS(WORKSHEET!I$3:I$1081,WORKSHEET!$D$3:$D$1081,$I58,WORKSHEET!$B$3:$B$1081,$B$2)</f>
        <v>7</v>
      </c>
      <c r="L58" s="180">
        <f t="shared" si="15"/>
        <v>0.875</v>
      </c>
      <c r="M58" s="179">
        <v>53</v>
      </c>
      <c r="N58" s="181">
        <f t="shared" si="13"/>
        <v>39</v>
      </c>
      <c r="O58" s="179">
        <f t="shared" si="5"/>
        <v>39.052999999999997</v>
      </c>
      <c r="P58" s="179">
        <f t="shared" si="14"/>
        <v>45</v>
      </c>
      <c r="Q58" s="97" t="s">
        <v>160</v>
      </c>
    </row>
    <row r="59" spans="1:17" ht="18" customHeight="1">
      <c r="A59" s="97">
        <v>54</v>
      </c>
      <c r="B59" s="97" t="str">
        <f t="shared" si="11"/>
        <v>Lamborghini North Scottsdale</v>
      </c>
      <c r="C59" s="180">
        <f t="shared" si="12"/>
        <v>0.75</v>
      </c>
      <c r="I59" s="97" t="s">
        <v>162</v>
      </c>
      <c r="J59" s="179">
        <f>SUMIFS(WORKSHEET!H$3:H$1081,WORKSHEET!$D$3:$D$1081,$I59,WORKSHEET!$B$3:$B$1081,$B$2)</f>
        <v>8</v>
      </c>
      <c r="K59" s="179">
        <f>SUMIFS(WORKSHEET!I$3:I$1081,WORKSHEET!$D$3:$D$1081,$I59,WORKSHEET!$B$3:$B$1081,$B$2)</f>
        <v>7</v>
      </c>
      <c r="L59" s="180">
        <f t="shared" si="15"/>
        <v>0.875</v>
      </c>
      <c r="M59" s="179">
        <v>54</v>
      </c>
      <c r="N59" s="181">
        <f t="shared" si="13"/>
        <v>39</v>
      </c>
      <c r="O59" s="179">
        <f t="shared" si="5"/>
        <v>39.054000000000002</v>
      </c>
      <c r="P59" s="179">
        <f t="shared" si="14"/>
        <v>46</v>
      </c>
      <c r="Q59" s="97" t="s">
        <v>162</v>
      </c>
    </row>
    <row r="60" spans="1:17" ht="18" customHeight="1">
      <c r="A60" s="97">
        <v>55</v>
      </c>
      <c r="B60" s="97" t="str">
        <f t="shared" si="11"/>
        <v>Motorwerks BMW</v>
      </c>
      <c r="C60" s="180">
        <f t="shared" si="12"/>
        <v>0.75</v>
      </c>
      <c r="I60" s="97" t="s">
        <v>164</v>
      </c>
      <c r="J60" s="179">
        <f>SUMIFS(WORKSHEET!H$3:H$1081,WORKSHEET!$D$3:$D$1081,$I60,WORKSHEET!$B$3:$B$1081,$B$2)</f>
        <v>8</v>
      </c>
      <c r="K60" s="179">
        <f>SUMIFS(WORKSHEET!I$3:I$1081,WORKSHEET!$D$3:$D$1081,$I60,WORKSHEET!$B$3:$B$1081,$B$2)</f>
        <v>7</v>
      </c>
      <c r="L60" s="180">
        <f t="shared" si="15"/>
        <v>0.875</v>
      </c>
      <c r="M60" s="179">
        <v>55</v>
      </c>
      <c r="N60" s="181">
        <f t="shared" si="13"/>
        <v>39</v>
      </c>
      <c r="O60" s="179">
        <f t="shared" si="5"/>
        <v>39.055</v>
      </c>
      <c r="P60" s="179">
        <f t="shared" si="14"/>
        <v>47</v>
      </c>
      <c r="Q60" s="97" t="s">
        <v>164</v>
      </c>
    </row>
    <row r="61" spans="1:17" ht="18" customHeight="1">
      <c r="A61" s="97">
        <v>56</v>
      </c>
      <c r="B61" s="97" t="str">
        <f t="shared" si="11"/>
        <v>Peter Pan BMW</v>
      </c>
      <c r="C61" s="180">
        <f t="shared" si="12"/>
        <v>0.75</v>
      </c>
      <c r="I61" s="97" t="s">
        <v>166</v>
      </c>
      <c r="J61" s="179">
        <f>SUMIFS(WORKSHEET!H$3:H$1081,WORKSHEET!$D$3:$D$1081,$I61,WORKSHEET!$B$3:$B$1081,$B$2)</f>
        <v>8</v>
      </c>
      <c r="K61" s="179">
        <f>SUMIFS(WORKSHEET!I$3:I$1081,WORKSHEET!$D$3:$D$1081,$I61,WORKSHEET!$B$3:$B$1081,$B$2)</f>
        <v>8</v>
      </c>
      <c r="L61" s="180">
        <f t="shared" si="15"/>
        <v>1</v>
      </c>
      <c r="M61" s="179">
        <v>56</v>
      </c>
      <c r="N61" s="181">
        <f t="shared" si="13"/>
        <v>1</v>
      </c>
      <c r="O61" s="179">
        <f t="shared" si="5"/>
        <v>1.056</v>
      </c>
      <c r="P61" s="179">
        <f t="shared" si="14"/>
        <v>35</v>
      </c>
      <c r="Q61" s="97" t="s">
        <v>166</v>
      </c>
    </row>
    <row r="62" spans="1:17" ht="18" customHeight="1">
      <c r="A62" s="97">
        <v>57</v>
      </c>
      <c r="B62" s="97" t="str">
        <f t="shared" si="11"/>
        <v>BMW of Austin</v>
      </c>
      <c r="C62" s="180">
        <f t="shared" si="12"/>
        <v>0.625</v>
      </c>
      <c r="I62" s="97" t="s">
        <v>168</v>
      </c>
      <c r="J62" s="179">
        <f>SUMIFS(WORKSHEET!H$3:H$1081,WORKSHEET!$D$3:$D$1081,$I62,WORKSHEET!$B$3:$B$1081,$B$2)</f>
        <v>8</v>
      </c>
      <c r="K62" s="179">
        <f>SUMIFS(WORKSHEET!I$3:I$1081,WORKSHEET!$D$3:$D$1081,$I62,WORKSHEET!$B$3:$B$1081,$B$2)</f>
        <v>7</v>
      </c>
      <c r="L62" s="180">
        <f t="shared" si="15"/>
        <v>0.875</v>
      </c>
      <c r="M62" s="179">
        <v>57</v>
      </c>
      <c r="N62" s="181">
        <f t="shared" si="13"/>
        <v>39</v>
      </c>
      <c r="O62" s="179">
        <f t="shared" si="5"/>
        <v>39.057000000000002</v>
      </c>
      <c r="P62" s="179">
        <f t="shared" si="14"/>
        <v>48</v>
      </c>
      <c r="Q62" s="97" t="s">
        <v>168</v>
      </c>
    </row>
    <row r="63" spans="1:17" ht="18" customHeight="1">
      <c r="A63" s="97">
        <v>58</v>
      </c>
      <c r="B63" s="97" t="str">
        <f t="shared" si="11"/>
        <v>Genesis of Round Rock</v>
      </c>
      <c r="C63" s="180">
        <f t="shared" si="12"/>
        <v>0.625</v>
      </c>
      <c r="I63" s="97" t="s">
        <v>170</v>
      </c>
      <c r="J63" s="179">
        <f>SUMIFS(WORKSHEET!H$3:H$1081,WORKSHEET!$D$3:$D$1081,$I63,WORKSHEET!$B$3:$B$1081,$B$2)</f>
        <v>8</v>
      </c>
      <c r="K63" s="179">
        <f>SUMIFS(WORKSHEET!I$3:I$1081,WORKSHEET!$D$3:$D$1081,$I63,WORKSHEET!$B$3:$B$1081,$B$2)</f>
        <v>1</v>
      </c>
      <c r="L63" s="180">
        <f t="shared" si="15"/>
        <v>0.125</v>
      </c>
      <c r="M63" s="179">
        <v>58</v>
      </c>
      <c r="N63" s="181">
        <f t="shared" si="13"/>
        <v>63</v>
      </c>
      <c r="O63" s="179">
        <f t="shared" si="5"/>
        <v>63.058</v>
      </c>
      <c r="P63" s="179">
        <f t="shared" si="14"/>
        <v>64</v>
      </c>
      <c r="Q63" s="97" t="s">
        <v>170</v>
      </c>
    </row>
    <row r="64" spans="1:17" ht="18" customHeight="1">
      <c r="A64" s="97">
        <v>59</v>
      </c>
      <c r="B64" s="97" t="str">
        <f t="shared" si="11"/>
        <v>Honda North</v>
      </c>
      <c r="C64" s="180">
        <f t="shared" si="12"/>
        <v>0.625</v>
      </c>
      <c r="I64" s="97" t="s">
        <v>172</v>
      </c>
      <c r="J64" s="179">
        <f>SUMIFS(WORKSHEET!H$3:H$1081,WORKSHEET!$D$3:$D$1081,$I64,WORKSHEET!$B$3:$B$1081,$B$2)</f>
        <v>8</v>
      </c>
      <c r="K64" s="179">
        <f>SUMIFS(WORKSHEET!I$3:I$1081,WORKSHEET!$D$3:$D$1081,$I64,WORKSHEET!$B$3:$B$1081,$B$2)</f>
        <v>4</v>
      </c>
      <c r="L64" s="180">
        <f t="shared" si="15"/>
        <v>0.5</v>
      </c>
      <c r="M64" s="179">
        <v>59</v>
      </c>
      <c r="N64" s="181">
        <f t="shared" si="13"/>
        <v>60</v>
      </c>
      <c r="O64" s="179">
        <f t="shared" si="5"/>
        <v>60.058999999999997</v>
      </c>
      <c r="P64" s="179">
        <f t="shared" si="14"/>
        <v>62</v>
      </c>
      <c r="Q64" s="97" t="s">
        <v>172</v>
      </c>
    </row>
    <row r="65" spans="1:17" ht="18" customHeight="1">
      <c r="A65" s="97">
        <v>60</v>
      </c>
      <c r="B65" s="97" t="str">
        <f t="shared" si="11"/>
        <v>Lexus of Austin</v>
      </c>
      <c r="C65" s="180">
        <f t="shared" si="12"/>
        <v>0.625</v>
      </c>
      <c r="I65" s="97" t="s">
        <v>174</v>
      </c>
      <c r="J65" s="179">
        <f>SUMIFS(WORKSHEET!H$3:H$1081,WORKSHEET!$D$3:$D$1081,$I65,WORKSHEET!$B$3:$B$1081,$B$2)</f>
        <v>8</v>
      </c>
      <c r="K65" s="179">
        <f>SUMIFS(WORKSHEET!I$3:I$1081,WORKSHEET!$D$3:$D$1081,$I65,WORKSHEET!$B$3:$B$1081,$B$2)</f>
        <v>8</v>
      </c>
      <c r="L65" s="180">
        <f t="shared" si="15"/>
        <v>1</v>
      </c>
      <c r="M65" s="179">
        <v>60</v>
      </c>
      <c r="N65" s="181">
        <f t="shared" si="13"/>
        <v>1</v>
      </c>
      <c r="O65" s="179">
        <f t="shared" si="5"/>
        <v>1.06</v>
      </c>
      <c r="P65" s="179">
        <f t="shared" si="14"/>
        <v>36</v>
      </c>
      <c r="Q65" s="97" t="s">
        <v>174</v>
      </c>
    </row>
    <row r="66" spans="1:17" ht="18" customHeight="1">
      <c r="A66" s="97">
        <v>61</v>
      </c>
      <c r="B66" s="97" t="str">
        <f t="shared" si="11"/>
        <v>BMW of Bloomfield Hills</v>
      </c>
      <c r="C66" s="180">
        <f t="shared" si="12"/>
        <v>0.5</v>
      </c>
      <c r="I66" s="97" t="s">
        <v>176</v>
      </c>
      <c r="J66" s="179">
        <f>SUMIFS(WORKSHEET!H$3:H$1081,WORKSHEET!$D$3:$D$1081,$I66,WORKSHEET!$B$3:$B$1081,$B$2)</f>
        <v>8</v>
      </c>
      <c r="K66" s="179">
        <f>SUMIFS(WORKSHEET!I$3:I$1081,WORKSHEET!$D$3:$D$1081,$I66,WORKSHEET!$B$3:$B$1081,$B$2)</f>
        <v>8</v>
      </c>
      <c r="L66" s="180">
        <f t="shared" si="15"/>
        <v>1</v>
      </c>
      <c r="M66" s="179">
        <v>61</v>
      </c>
      <c r="N66" s="181">
        <f t="shared" si="13"/>
        <v>1</v>
      </c>
      <c r="O66" s="179">
        <f t="shared" si="5"/>
        <v>1.0609999999999999</v>
      </c>
      <c r="P66" s="179">
        <f t="shared" si="14"/>
        <v>37</v>
      </c>
      <c r="Q66" s="97" t="s">
        <v>176</v>
      </c>
    </row>
    <row r="67" spans="1:17" ht="18" customHeight="1">
      <c r="A67" s="97">
        <v>62</v>
      </c>
      <c r="B67" s="97" t="str">
        <f t="shared" si="11"/>
        <v>Subaru Orange Coast</v>
      </c>
      <c r="C67" s="180">
        <f t="shared" si="12"/>
        <v>0.5</v>
      </c>
      <c r="I67" s="97" t="s">
        <v>178</v>
      </c>
      <c r="J67" s="179">
        <f>SUMIFS(WORKSHEET!H$3:H$1081,WORKSHEET!$D$3:$D$1081,$I67,WORKSHEET!$B$3:$B$1081,$B$2)</f>
        <v>8</v>
      </c>
      <c r="K67" s="179">
        <f>SUMIFS(WORKSHEET!I$3:I$1081,WORKSHEET!$D$3:$D$1081,$I67,WORKSHEET!$B$3:$B$1081,$B$2)</f>
        <v>7</v>
      </c>
      <c r="L67" s="180">
        <f t="shared" si="15"/>
        <v>0.875</v>
      </c>
      <c r="M67" s="179">
        <v>62</v>
      </c>
      <c r="N67" s="181">
        <f t="shared" si="13"/>
        <v>39</v>
      </c>
      <c r="O67" s="179">
        <f t="shared" si="5"/>
        <v>39.061999999999998</v>
      </c>
      <c r="P67" s="179">
        <f t="shared" si="14"/>
        <v>49</v>
      </c>
      <c r="Q67" s="97" t="s">
        <v>178</v>
      </c>
    </row>
    <row r="68" spans="1:17" ht="18" customHeight="1">
      <c r="A68" s="97">
        <v>63</v>
      </c>
      <c r="B68" s="97" t="str">
        <f t="shared" si="11"/>
        <v>Honda of Escondido</v>
      </c>
      <c r="C68" s="180">
        <f t="shared" si="12"/>
        <v>0.375</v>
      </c>
      <c r="I68" s="97" t="s">
        <v>180</v>
      </c>
      <c r="J68" s="179">
        <f>SUMIFS(WORKSHEET!H$3:H$1081,WORKSHEET!$D$3:$D$1081,$I68,WORKSHEET!$B$3:$B$1081,$B$2)</f>
        <v>8</v>
      </c>
      <c r="K68" s="179">
        <f>SUMIFS(WORKSHEET!I$3:I$1081,WORKSHEET!$D$3:$D$1081,$I68,WORKSHEET!$B$3:$B$1081,$B$2)</f>
        <v>8</v>
      </c>
      <c r="L68" s="180">
        <f t="shared" si="15"/>
        <v>1</v>
      </c>
      <c r="M68" s="179">
        <v>63</v>
      </c>
      <c r="N68" s="181">
        <f t="shared" si="13"/>
        <v>1</v>
      </c>
      <c r="O68" s="179">
        <f t="shared" si="5"/>
        <v>1.0629999999999999</v>
      </c>
      <c r="P68" s="179">
        <f t="shared" si="14"/>
        <v>38</v>
      </c>
      <c r="Q68" s="97" t="s">
        <v>180</v>
      </c>
    </row>
    <row r="69" spans="1:17" ht="18" customHeight="1">
      <c r="A69" s="97">
        <v>64</v>
      </c>
      <c r="B69" s="97" t="str">
        <f t="shared" si="11"/>
        <v>Scottsdale Ferrari Maserati</v>
      </c>
      <c r="C69" s="180">
        <f t="shared" si="12"/>
        <v>0.125</v>
      </c>
      <c r="I69" s="97" t="s">
        <v>182</v>
      </c>
      <c r="J69" s="179">
        <f>SUMIFS(WORKSHEET!H$3:H$1081,WORKSHEET!$D$3:$D$1081,$I69,WORKSHEET!$B$3:$B$1081,$B$2)</f>
        <v>8</v>
      </c>
      <c r="K69" s="179">
        <f>SUMIFS(WORKSHEET!I$3:I$1081,WORKSHEET!$D$3:$D$1081,$I69,WORKSHEET!$B$3:$B$1081,$B$2)</f>
        <v>8</v>
      </c>
      <c r="L69" s="180">
        <f t="shared" si="15"/>
        <v>1</v>
      </c>
      <c r="M69" s="179">
        <v>64</v>
      </c>
      <c r="N69" s="181">
        <f t="shared" si="13"/>
        <v>1</v>
      </c>
      <c r="O69" s="179">
        <f t="shared" si="5"/>
        <v>1.0640000000000001</v>
      </c>
      <c r="P69" s="179">
        <f t="shared" si="14"/>
        <v>39</v>
      </c>
      <c r="Q69" s="97" t="s">
        <v>182</v>
      </c>
    </row>
    <row r="70" spans="1:17" ht="18" customHeight="1">
      <c r="C70" s="180"/>
      <c r="J70" s="179"/>
      <c r="K70" s="179"/>
      <c r="L70" s="180"/>
      <c r="N70" s="181"/>
    </row>
    <row r="71" spans="1:17" ht="18" customHeight="1">
      <c r="C71" s="180"/>
      <c r="J71" s="179"/>
      <c r="K71" s="179"/>
      <c r="L71" s="180"/>
      <c r="N71" s="181"/>
    </row>
    <row r="72" spans="1:17" ht="18" customHeight="1">
      <c r="C72" s="180"/>
      <c r="D72" s="179"/>
      <c r="E72" s="179"/>
      <c r="J72" s="179"/>
      <c r="K72" s="179"/>
      <c r="L72" s="180"/>
      <c r="N72" s="181"/>
    </row>
    <row r="73" spans="1:17">
      <c r="C73" s="179"/>
      <c r="D73" s="179"/>
      <c r="E73" s="179"/>
    </row>
    <row r="74" spans="1:17">
      <c r="C74" s="179"/>
      <c r="D74" s="179"/>
      <c r="E74" s="179"/>
    </row>
  </sheetData>
  <sortState xmlns:xlrd2="http://schemas.microsoft.com/office/spreadsheetml/2017/richdata2" ref="U6:U72">
    <sortCondition ref="U6:U72"/>
  </sortState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D0CEF-CCA1-164E-9784-198D8E4E1789}">
  <dimension ref="A2:R116"/>
  <sheetViews>
    <sheetView topLeftCell="A18" workbookViewId="0">
      <selection activeCell="A3" sqref="A3:A66"/>
    </sheetView>
  </sheetViews>
  <sheetFormatPr defaultColWidth="11" defaultRowHeight="15.75"/>
  <cols>
    <col min="1" max="1" width="30.625" bestFit="1" customWidth="1"/>
    <col min="2" max="2" width="17" bestFit="1" customWidth="1"/>
    <col min="3" max="3" width="13.875" hidden="1" customWidth="1"/>
    <col min="4" max="4" width="40.375" hidden="1" customWidth="1"/>
    <col min="5" max="5" width="8.625" hidden="1" customWidth="1"/>
    <col min="6" max="6" width="8.5" hidden="1" customWidth="1"/>
    <col min="7" max="7" width="15.125" bestFit="1" customWidth="1"/>
    <col min="8" max="8" width="26.375" bestFit="1" customWidth="1"/>
    <col min="9" max="9" width="12.875" bestFit="1" customWidth="1"/>
    <col min="10" max="10" width="17.5" bestFit="1" customWidth="1"/>
    <col min="11" max="11" width="14.875" bestFit="1" customWidth="1"/>
    <col min="12" max="12" width="15.375" bestFit="1" customWidth="1"/>
    <col min="13" max="13" width="13" bestFit="1" customWidth="1"/>
    <col min="14" max="14" width="6.875" bestFit="1" customWidth="1"/>
    <col min="15" max="15" width="12" bestFit="1" customWidth="1"/>
    <col min="16" max="16" width="9" bestFit="1" customWidth="1"/>
    <col min="17" max="17" width="13.5" bestFit="1" customWidth="1"/>
    <col min="18" max="18" width="16" bestFit="1" customWidth="1"/>
  </cols>
  <sheetData>
    <row r="2" spans="1:18" ht="16.5" thickBot="1">
      <c r="A2" s="24" t="s">
        <v>34</v>
      </c>
      <c r="B2" s="24" t="s">
        <v>22</v>
      </c>
      <c r="C2" s="24"/>
      <c r="D2" s="24" t="s">
        <v>51</v>
      </c>
      <c r="E2" s="34" t="s">
        <v>24</v>
      </c>
      <c r="F2" s="34" t="s">
        <v>25</v>
      </c>
      <c r="G2" s="24" t="s">
        <v>52</v>
      </c>
      <c r="H2" s="24" t="s">
        <v>53</v>
      </c>
      <c r="I2" s="24" t="s">
        <v>586</v>
      </c>
      <c r="J2" s="24" t="s">
        <v>587</v>
      </c>
      <c r="K2" s="24" t="s">
        <v>588</v>
      </c>
      <c r="L2" s="24" t="s">
        <v>589</v>
      </c>
      <c r="M2" s="24" t="s">
        <v>590</v>
      </c>
      <c r="N2" s="24" t="s">
        <v>591</v>
      </c>
      <c r="O2" s="24" t="s">
        <v>592</v>
      </c>
      <c r="P2" s="24" t="s">
        <v>593</v>
      </c>
      <c r="Q2" s="24" t="s">
        <v>594</v>
      </c>
      <c r="R2" s="24" t="s">
        <v>595</v>
      </c>
    </row>
    <row r="3" spans="1:18">
      <c r="A3" t="s">
        <v>35</v>
      </c>
      <c r="E3" s="30"/>
      <c r="F3" s="30"/>
    </row>
    <row r="4" spans="1:18">
      <c r="A4" t="s">
        <v>60</v>
      </c>
      <c r="E4" s="30"/>
      <c r="F4" s="30"/>
    </row>
    <row r="5" spans="1:18">
      <c r="A5" t="s">
        <v>66</v>
      </c>
      <c r="E5" s="30"/>
      <c r="F5" s="30"/>
    </row>
    <row r="6" spans="1:18">
      <c r="A6" t="s">
        <v>72</v>
      </c>
      <c r="E6" s="30"/>
      <c r="F6" s="30"/>
    </row>
    <row r="7" spans="1:18">
      <c r="A7" t="s">
        <v>74</v>
      </c>
      <c r="E7" s="30"/>
      <c r="F7" s="30"/>
    </row>
    <row r="8" spans="1:18">
      <c r="A8" t="s">
        <v>114</v>
      </c>
      <c r="E8" s="30"/>
      <c r="F8" s="30"/>
    </row>
    <row r="9" spans="1:18">
      <c r="A9" t="s">
        <v>116</v>
      </c>
      <c r="E9" s="30"/>
      <c r="F9" s="30"/>
    </row>
    <row r="10" spans="1:18">
      <c r="A10" t="s">
        <v>118</v>
      </c>
      <c r="E10" s="30"/>
      <c r="F10" s="30"/>
    </row>
    <row r="11" spans="1:18">
      <c r="A11" t="s">
        <v>122</v>
      </c>
      <c r="E11" s="30"/>
      <c r="F11" s="30"/>
    </row>
    <row r="12" spans="1:18">
      <c r="A12" t="s">
        <v>132</v>
      </c>
      <c r="E12" s="30"/>
      <c r="F12" s="30"/>
    </row>
    <row r="13" spans="1:18">
      <c r="A13" t="s">
        <v>134</v>
      </c>
      <c r="E13" s="30"/>
      <c r="F13" s="30"/>
    </row>
    <row r="14" spans="1:18">
      <c r="A14" t="s">
        <v>138</v>
      </c>
      <c r="E14" s="30"/>
      <c r="F14" s="30"/>
    </row>
    <row r="15" spans="1:18">
      <c r="A15" t="s">
        <v>148</v>
      </c>
      <c r="E15" s="30"/>
      <c r="F15" s="30"/>
    </row>
    <row r="16" spans="1:18">
      <c r="A16" t="s">
        <v>160</v>
      </c>
      <c r="E16" s="30"/>
      <c r="F16" s="30"/>
    </row>
    <row r="17" spans="1:6">
      <c r="A17" t="s">
        <v>170</v>
      </c>
      <c r="E17" s="30"/>
      <c r="F17" s="30"/>
    </row>
    <row r="18" spans="1:6">
      <c r="A18" t="s">
        <v>174</v>
      </c>
      <c r="E18" s="30"/>
      <c r="F18" s="30"/>
    </row>
    <row r="19" spans="1:6">
      <c r="A19" t="s">
        <v>178</v>
      </c>
      <c r="E19" s="30"/>
      <c r="F19" s="30"/>
    </row>
    <row r="20" spans="1:6">
      <c r="A20" t="s">
        <v>180</v>
      </c>
      <c r="E20" s="30"/>
      <c r="F20" s="30"/>
    </row>
    <row r="21" spans="1:6">
      <c r="A21" t="s">
        <v>68</v>
      </c>
      <c r="E21" s="30"/>
      <c r="F21" s="30"/>
    </row>
    <row r="22" spans="1:6">
      <c r="A22" t="s">
        <v>88</v>
      </c>
      <c r="E22" s="30"/>
      <c r="F22" s="30"/>
    </row>
    <row r="23" spans="1:6">
      <c r="A23" t="s">
        <v>102</v>
      </c>
      <c r="E23" s="30"/>
      <c r="F23" s="30"/>
    </row>
    <row r="24" spans="1:6">
      <c r="A24" t="s">
        <v>86</v>
      </c>
      <c r="E24" s="30"/>
      <c r="F24" s="30"/>
    </row>
    <row r="25" spans="1:6">
      <c r="A25" t="s">
        <v>142</v>
      </c>
      <c r="E25" s="30"/>
      <c r="F25" s="30"/>
    </row>
    <row r="26" spans="1:6">
      <c r="A26" t="s">
        <v>158</v>
      </c>
      <c r="E26" s="30"/>
      <c r="F26" s="30"/>
    </row>
    <row r="27" spans="1:6">
      <c r="A27" t="s">
        <v>162</v>
      </c>
      <c r="E27" s="30"/>
      <c r="F27" s="30"/>
    </row>
    <row r="28" spans="1:6">
      <c r="A28" t="s">
        <v>176</v>
      </c>
      <c r="E28" s="30"/>
      <c r="F28" s="30"/>
    </row>
    <row r="29" spans="1:6">
      <c r="A29" t="s">
        <v>64</v>
      </c>
      <c r="E29" s="30"/>
      <c r="F29" s="30"/>
    </row>
    <row r="30" spans="1:6">
      <c r="A30" t="s">
        <v>70</v>
      </c>
      <c r="E30" s="30"/>
      <c r="F30" s="30"/>
    </row>
    <row r="31" spans="1:6">
      <c r="A31" t="s">
        <v>80</v>
      </c>
      <c r="E31" s="30"/>
      <c r="F31" s="30"/>
    </row>
    <row r="32" spans="1:6">
      <c r="A32" t="s">
        <v>90</v>
      </c>
      <c r="E32" s="30"/>
      <c r="F32" s="30"/>
    </row>
    <row r="33" spans="1:6">
      <c r="A33" t="s">
        <v>92</v>
      </c>
      <c r="E33" s="30"/>
      <c r="F33" s="30"/>
    </row>
    <row r="34" spans="1:6">
      <c r="A34" t="s">
        <v>128</v>
      </c>
      <c r="E34" s="30"/>
      <c r="F34" s="30"/>
    </row>
    <row r="35" spans="1:6">
      <c r="A35" t="s">
        <v>144</v>
      </c>
      <c r="E35" s="30"/>
      <c r="F35" s="30"/>
    </row>
    <row r="36" spans="1:6">
      <c r="A36" t="s">
        <v>172</v>
      </c>
      <c r="E36" s="30"/>
      <c r="F36" s="30"/>
    </row>
    <row r="37" spans="1:6">
      <c r="A37" t="s">
        <v>182</v>
      </c>
      <c r="E37" s="30"/>
      <c r="F37" s="30"/>
    </row>
    <row r="38" spans="1:6">
      <c r="A38" t="s">
        <v>58</v>
      </c>
      <c r="E38" s="30"/>
      <c r="F38" s="30"/>
    </row>
    <row r="39" spans="1:6">
      <c r="A39" t="s">
        <v>62</v>
      </c>
      <c r="E39" s="30"/>
      <c r="F39" s="30"/>
    </row>
    <row r="40" spans="1:6">
      <c r="A40" t="s">
        <v>84</v>
      </c>
      <c r="E40" s="30"/>
      <c r="F40" s="30"/>
    </row>
    <row r="41" spans="1:6">
      <c r="A41" t="s">
        <v>82</v>
      </c>
      <c r="E41" s="30"/>
      <c r="F41" s="30"/>
    </row>
    <row r="42" spans="1:6">
      <c r="A42" t="s">
        <v>104</v>
      </c>
      <c r="E42" s="30"/>
      <c r="F42" s="30"/>
    </row>
    <row r="43" spans="1:6">
      <c r="A43" t="s">
        <v>112</v>
      </c>
      <c r="E43" s="30"/>
      <c r="F43" s="30"/>
    </row>
    <row r="44" spans="1:6">
      <c r="A44" t="s">
        <v>126</v>
      </c>
      <c r="E44" s="30"/>
      <c r="F44" s="30"/>
    </row>
    <row r="45" spans="1:6">
      <c r="A45" t="s">
        <v>130</v>
      </c>
      <c r="E45" s="30"/>
      <c r="F45" s="30"/>
    </row>
    <row r="46" spans="1:6">
      <c r="A46" t="s">
        <v>136</v>
      </c>
      <c r="E46" s="30"/>
      <c r="F46" s="30"/>
    </row>
    <row r="47" spans="1:6">
      <c r="A47" t="s">
        <v>146</v>
      </c>
      <c r="E47" s="30"/>
      <c r="F47" s="30"/>
    </row>
    <row r="48" spans="1:6">
      <c r="A48" t="s">
        <v>76</v>
      </c>
      <c r="E48" s="30"/>
      <c r="F48" s="30"/>
    </row>
    <row r="49" spans="1:6">
      <c r="A49" t="s">
        <v>98</v>
      </c>
      <c r="E49" s="30"/>
      <c r="F49" s="30"/>
    </row>
    <row r="50" spans="1:6">
      <c r="A50" t="s">
        <v>100</v>
      </c>
      <c r="E50" s="30"/>
      <c r="F50" s="30"/>
    </row>
    <row r="51" spans="1:6">
      <c r="A51" t="s">
        <v>417</v>
      </c>
      <c r="E51" s="30"/>
      <c r="F51" s="30"/>
    </row>
    <row r="52" spans="1:6">
      <c r="A52" t="s">
        <v>108</v>
      </c>
      <c r="E52" s="30"/>
      <c r="F52" s="30"/>
    </row>
    <row r="53" spans="1:6">
      <c r="A53" t="s">
        <v>120</v>
      </c>
      <c r="E53" s="30"/>
      <c r="F53" s="30"/>
    </row>
    <row r="54" spans="1:6">
      <c r="A54" t="s">
        <v>124</v>
      </c>
      <c r="E54" s="30"/>
      <c r="F54" s="30"/>
    </row>
    <row r="55" spans="1:6">
      <c r="A55" t="s">
        <v>140</v>
      </c>
      <c r="E55" s="30"/>
      <c r="F55" s="30"/>
    </row>
    <row r="56" spans="1:6">
      <c r="A56" t="s">
        <v>164</v>
      </c>
      <c r="E56" s="30"/>
      <c r="F56" s="30"/>
    </row>
    <row r="57" spans="1:6">
      <c r="A57" t="s">
        <v>166</v>
      </c>
      <c r="E57" s="30"/>
      <c r="F57" s="30"/>
    </row>
    <row r="58" spans="1:6">
      <c r="A58" t="s">
        <v>168</v>
      </c>
    </row>
    <row r="59" spans="1:6">
      <c r="A59" t="s">
        <v>78</v>
      </c>
    </row>
    <row r="60" spans="1:6">
      <c r="A60" t="s">
        <v>94</v>
      </c>
    </row>
    <row r="61" spans="1:6">
      <c r="A61" t="s">
        <v>96</v>
      </c>
    </row>
    <row r="62" spans="1:6">
      <c r="A62" t="s">
        <v>106</v>
      </c>
      <c r="E62" s="30"/>
      <c r="F62" s="30"/>
    </row>
    <row r="63" spans="1:6">
      <c r="A63" t="s">
        <v>150</v>
      </c>
      <c r="E63" s="30"/>
      <c r="F63" s="30"/>
    </row>
    <row r="64" spans="1:6">
      <c r="A64" t="s">
        <v>152</v>
      </c>
      <c r="E64" s="30"/>
      <c r="F64" s="30"/>
    </row>
    <row r="65" spans="1:6">
      <c r="A65" t="s">
        <v>156</v>
      </c>
      <c r="E65" s="30"/>
      <c r="F65" s="30"/>
    </row>
    <row r="66" spans="1:6">
      <c r="A66" t="s">
        <v>154</v>
      </c>
      <c r="E66" s="30"/>
      <c r="F66" s="30"/>
    </row>
    <row r="67" spans="1:6">
      <c r="E67" s="30"/>
      <c r="F67" s="30"/>
    </row>
    <row r="68" spans="1:6">
      <c r="E68" s="30"/>
      <c r="F68" s="30"/>
    </row>
    <row r="69" spans="1:6">
      <c r="E69" s="30"/>
      <c r="F69" s="30"/>
    </row>
    <row r="70" spans="1:6">
      <c r="E70" s="30"/>
      <c r="F70" s="30"/>
    </row>
    <row r="71" spans="1:6">
      <c r="E71" s="30"/>
      <c r="F71" s="30"/>
    </row>
    <row r="72" spans="1:6">
      <c r="E72" s="30"/>
      <c r="F72" s="30"/>
    </row>
    <row r="73" spans="1:6">
      <c r="E73" s="30"/>
      <c r="F73" s="30"/>
    </row>
    <row r="74" spans="1:6">
      <c r="E74" s="30"/>
      <c r="F74" s="30"/>
    </row>
    <row r="75" spans="1:6">
      <c r="E75" s="30"/>
      <c r="F75" s="30"/>
    </row>
    <row r="76" spans="1:6">
      <c r="E76" s="30"/>
      <c r="F76" s="30"/>
    </row>
    <row r="77" spans="1:6">
      <c r="E77" s="30"/>
      <c r="F77" s="30"/>
    </row>
    <row r="78" spans="1:6">
      <c r="E78" s="30"/>
      <c r="F78" s="30"/>
    </row>
    <row r="79" spans="1:6">
      <c r="E79" s="30"/>
      <c r="F79" s="30"/>
    </row>
    <row r="80" spans="1:6">
      <c r="E80" s="30"/>
      <c r="F80" s="30"/>
    </row>
    <row r="81" spans="5:6">
      <c r="E81" s="30"/>
      <c r="F81" s="30"/>
    </row>
    <row r="82" spans="5:6">
      <c r="E82" s="30"/>
      <c r="F82" s="30"/>
    </row>
    <row r="83" spans="5:6">
      <c r="E83" s="30"/>
      <c r="F83" s="30"/>
    </row>
    <row r="84" spans="5:6">
      <c r="E84" s="30"/>
      <c r="F84" s="30"/>
    </row>
    <row r="85" spans="5:6">
      <c r="E85" s="30"/>
      <c r="F85" s="30"/>
    </row>
    <row r="86" spans="5:6">
      <c r="E86" s="30"/>
      <c r="F86" s="30"/>
    </row>
    <row r="87" spans="5:6">
      <c r="E87" s="30"/>
      <c r="F87" s="30"/>
    </row>
    <row r="88" spans="5:6">
      <c r="E88" s="30"/>
      <c r="F88" s="30"/>
    </row>
    <row r="89" spans="5:6">
      <c r="E89" s="30"/>
      <c r="F89" s="30"/>
    </row>
    <row r="90" spans="5:6">
      <c r="E90" s="30"/>
      <c r="F90" s="30"/>
    </row>
    <row r="91" spans="5:6">
      <c r="E91" s="30"/>
      <c r="F91" s="30"/>
    </row>
    <row r="92" spans="5:6">
      <c r="E92" s="30"/>
      <c r="F92" s="30"/>
    </row>
    <row r="93" spans="5:6">
      <c r="E93" s="30"/>
      <c r="F93" s="30"/>
    </row>
    <row r="94" spans="5:6">
      <c r="E94" s="30"/>
      <c r="F94" s="30"/>
    </row>
    <row r="95" spans="5:6">
      <c r="E95" s="30"/>
      <c r="F95" s="30"/>
    </row>
    <row r="96" spans="5:6">
      <c r="E96" s="30"/>
      <c r="F96" s="30"/>
    </row>
    <row r="97" spans="5:6">
      <c r="E97" s="30"/>
      <c r="F97" s="30"/>
    </row>
    <row r="98" spans="5:6">
      <c r="E98" s="30"/>
      <c r="F98" s="30"/>
    </row>
    <row r="99" spans="5:6">
      <c r="E99" s="30"/>
      <c r="F99" s="30"/>
    </row>
    <row r="100" spans="5:6">
      <c r="E100" s="30"/>
      <c r="F100" s="30"/>
    </row>
    <row r="101" spans="5:6">
      <c r="E101" s="30"/>
      <c r="F101" s="30"/>
    </row>
    <row r="102" spans="5:6">
      <c r="E102" s="30"/>
      <c r="F102" s="30"/>
    </row>
    <row r="103" spans="5:6">
      <c r="E103" s="30"/>
      <c r="F103" s="30"/>
    </row>
    <row r="104" spans="5:6">
      <c r="E104" s="30"/>
      <c r="F104" s="30"/>
    </row>
    <row r="105" spans="5:6">
      <c r="E105" s="30"/>
      <c r="F105" s="30"/>
    </row>
    <row r="106" spans="5:6">
      <c r="E106" s="30"/>
      <c r="F106" s="30"/>
    </row>
    <row r="107" spans="5:6">
      <c r="E107" s="30"/>
      <c r="F107" s="30"/>
    </row>
    <row r="108" spans="5:6">
      <c r="E108" s="30"/>
      <c r="F108" s="30"/>
    </row>
    <row r="109" spans="5:6">
      <c r="E109" s="30"/>
      <c r="F109" s="30"/>
    </row>
    <row r="110" spans="5:6">
      <c r="E110" s="30"/>
      <c r="F110" s="30"/>
    </row>
    <row r="111" spans="5:6">
      <c r="E111" s="30"/>
      <c r="F111" s="30"/>
    </row>
    <row r="112" spans="5:6">
      <c r="E112" s="30"/>
      <c r="F112" s="30"/>
    </row>
    <row r="113" spans="5:6">
      <c r="E113" s="30"/>
      <c r="F113" s="30"/>
    </row>
    <row r="114" spans="5:6">
      <c r="E114" s="30"/>
      <c r="F114" s="30"/>
    </row>
    <row r="115" spans="5:6">
      <c r="E115" s="30"/>
      <c r="F115" s="30"/>
    </row>
    <row r="116" spans="5:6">
      <c r="E116" s="30"/>
      <c r="F116" s="30"/>
    </row>
  </sheetData>
  <sortState xmlns:xlrd2="http://schemas.microsoft.com/office/spreadsheetml/2017/richdata2" ref="A62:R116">
    <sortCondition ref="A62:A116"/>
  </sortState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A9C6E-7194-4C1D-B146-2FAB2E7DDA22}">
  <sheetPr>
    <tabColor theme="8" tint="-0.249977111117893"/>
  </sheetPr>
  <dimension ref="A2:D64"/>
  <sheetViews>
    <sheetView topLeftCell="A16" workbookViewId="0">
      <selection activeCell="A3" sqref="A3:B64"/>
    </sheetView>
  </sheetViews>
  <sheetFormatPr defaultColWidth="11" defaultRowHeight="15.75"/>
  <cols>
    <col min="1" max="1" width="30.625" bestFit="1" customWidth="1"/>
    <col min="2" max="2" width="17" style="191" bestFit="1" customWidth="1"/>
  </cols>
  <sheetData>
    <row r="2" spans="1:4" ht="16.5" thickBot="1">
      <c r="A2" s="24" t="s">
        <v>34</v>
      </c>
      <c r="B2" s="190" t="s">
        <v>580</v>
      </c>
      <c r="C2" s="189" t="s">
        <v>8</v>
      </c>
      <c r="D2" s="189" t="s">
        <v>9</v>
      </c>
    </row>
    <row r="3" spans="1:4">
      <c r="A3" t="s">
        <v>35</v>
      </c>
      <c r="B3" s="191">
        <v>1</v>
      </c>
    </row>
    <row r="4" spans="1:4">
      <c r="A4" t="s">
        <v>58</v>
      </c>
      <c r="B4" s="191">
        <v>1</v>
      </c>
    </row>
    <row r="5" spans="1:4">
      <c r="A5" t="s">
        <v>60</v>
      </c>
      <c r="B5" s="191">
        <v>1</v>
      </c>
    </row>
    <row r="6" spans="1:4">
      <c r="A6" t="s">
        <v>62</v>
      </c>
      <c r="B6" s="191">
        <v>1</v>
      </c>
    </row>
    <row r="7" spans="1:4">
      <c r="A7" t="s">
        <v>64</v>
      </c>
      <c r="B7" s="191">
        <v>1</v>
      </c>
    </row>
    <row r="8" spans="1:4">
      <c r="A8" t="s">
        <v>66</v>
      </c>
      <c r="B8" s="191">
        <v>1</v>
      </c>
    </row>
    <row r="9" spans="1:4">
      <c r="A9" t="s">
        <v>68</v>
      </c>
      <c r="B9" s="191">
        <v>1</v>
      </c>
    </row>
    <row r="10" spans="1:4">
      <c r="A10" t="s">
        <v>70</v>
      </c>
      <c r="B10" s="191">
        <v>1</v>
      </c>
    </row>
    <row r="11" spans="1:4">
      <c r="A11" t="s">
        <v>72</v>
      </c>
      <c r="B11" s="191">
        <v>0.75</v>
      </c>
    </row>
    <row r="12" spans="1:4">
      <c r="A12" t="s">
        <v>74</v>
      </c>
      <c r="B12" s="191">
        <v>1</v>
      </c>
    </row>
    <row r="13" spans="1:4">
      <c r="A13" t="s">
        <v>76</v>
      </c>
      <c r="B13" s="191">
        <v>0.625</v>
      </c>
    </row>
    <row r="14" spans="1:4">
      <c r="A14" t="s">
        <v>78</v>
      </c>
      <c r="B14" s="191">
        <v>0.5</v>
      </c>
    </row>
    <row r="15" spans="1:4">
      <c r="A15" t="s">
        <v>80</v>
      </c>
      <c r="B15" s="191">
        <v>0.875</v>
      </c>
    </row>
    <row r="16" spans="1:4">
      <c r="A16" t="s">
        <v>82</v>
      </c>
      <c r="B16" s="191">
        <v>0.875</v>
      </c>
    </row>
    <row r="17" spans="1:2">
      <c r="A17" t="s">
        <v>84</v>
      </c>
      <c r="B17" s="191">
        <v>0.75</v>
      </c>
    </row>
    <row r="18" spans="1:2">
      <c r="A18" t="s">
        <v>86</v>
      </c>
      <c r="B18" s="191">
        <v>1</v>
      </c>
    </row>
    <row r="19" spans="1:2">
      <c r="A19" t="s">
        <v>88</v>
      </c>
      <c r="B19" s="191">
        <v>0.875</v>
      </c>
    </row>
    <row r="20" spans="1:2">
      <c r="A20" t="s">
        <v>90</v>
      </c>
      <c r="B20" s="191">
        <v>1</v>
      </c>
    </row>
    <row r="21" spans="1:2">
      <c r="A21" t="s">
        <v>92</v>
      </c>
      <c r="B21" s="191">
        <v>1</v>
      </c>
    </row>
    <row r="22" spans="1:2">
      <c r="A22" t="s">
        <v>94</v>
      </c>
      <c r="B22" s="191">
        <v>0.75</v>
      </c>
    </row>
    <row r="23" spans="1:2">
      <c r="A23" t="s">
        <v>98</v>
      </c>
      <c r="B23" s="191">
        <v>0.625</v>
      </c>
    </row>
    <row r="24" spans="1:2">
      <c r="A24" t="s">
        <v>100</v>
      </c>
      <c r="B24" s="191">
        <v>1</v>
      </c>
    </row>
    <row r="25" spans="1:2">
      <c r="A25" t="s">
        <v>102</v>
      </c>
      <c r="B25" s="191">
        <v>0.625</v>
      </c>
    </row>
    <row r="26" spans="1:2">
      <c r="A26" t="s">
        <v>104</v>
      </c>
      <c r="B26" s="191">
        <v>0.375</v>
      </c>
    </row>
    <row r="27" spans="1:2">
      <c r="A27" t="s">
        <v>417</v>
      </c>
      <c r="B27" s="191">
        <v>0.625</v>
      </c>
    </row>
    <row r="28" spans="1:2">
      <c r="A28" t="s">
        <v>108</v>
      </c>
      <c r="B28" s="191">
        <v>0.75</v>
      </c>
    </row>
    <row r="29" spans="1:2">
      <c r="A29" t="s">
        <v>112</v>
      </c>
      <c r="B29" s="191">
        <v>1</v>
      </c>
    </row>
    <row r="30" spans="1:2">
      <c r="A30" t="s">
        <v>114</v>
      </c>
      <c r="B30" s="191">
        <v>0.75</v>
      </c>
    </row>
    <row r="31" spans="1:2">
      <c r="A31" t="s">
        <v>116</v>
      </c>
      <c r="B31" s="191">
        <v>0.875</v>
      </c>
    </row>
    <row r="32" spans="1:2">
      <c r="A32" t="s">
        <v>118</v>
      </c>
      <c r="B32" s="191">
        <v>1</v>
      </c>
    </row>
    <row r="33" spans="1:2">
      <c r="A33" t="s">
        <v>120</v>
      </c>
      <c r="B33" s="191">
        <v>0.625</v>
      </c>
    </row>
    <row r="34" spans="1:2">
      <c r="A34" t="s">
        <v>122</v>
      </c>
      <c r="B34" s="191">
        <v>0.875</v>
      </c>
    </row>
    <row r="35" spans="1:2">
      <c r="A35" t="s">
        <v>124</v>
      </c>
      <c r="B35" s="191">
        <v>1</v>
      </c>
    </row>
    <row r="36" spans="1:2">
      <c r="A36" t="s">
        <v>126</v>
      </c>
      <c r="B36" s="191">
        <v>1</v>
      </c>
    </row>
    <row r="37" spans="1:2">
      <c r="A37" t="s">
        <v>128</v>
      </c>
      <c r="B37" s="191">
        <v>1</v>
      </c>
    </row>
    <row r="38" spans="1:2">
      <c r="A38" t="s">
        <v>130</v>
      </c>
      <c r="B38" s="191">
        <v>1</v>
      </c>
    </row>
    <row r="39" spans="1:2">
      <c r="A39" t="s">
        <v>132</v>
      </c>
      <c r="B39" s="191">
        <v>1</v>
      </c>
    </row>
    <row r="40" spans="1:2">
      <c r="A40" t="s">
        <v>134</v>
      </c>
      <c r="B40" s="191">
        <v>1</v>
      </c>
    </row>
    <row r="41" spans="1:2">
      <c r="A41" t="s">
        <v>136</v>
      </c>
      <c r="B41" s="191">
        <v>1</v>
      </c>
    </row>
    <row r="42" spans="1:2">
      <c r="A42" t="s">
        <v>138</v>
      </c>
      <c r="B42" s="191">
        <v>1</v>
      </c>
    </row>
    <row r="43" spans="1:2">
      <c r="A43" t="s">
        <v>140</v>
      </c>
      <c r="B43" s="191">
        <v>1</v>
      </c>
    </row>
    <row r="44" spans="1:2">
      <c r="A44" t="s">
        <v>142</v>
      </c>
      <c r="B44" s="191">
        <v>1</v>
      </c>
    </row>
    <row r="45" spans="1:2">
      <c r="A45" t="s">
        <v>144</v>
      </c>
      <c r="B45" s="191">
        <v>1</v>
      </c>
    </row>
    <row r="46" spans="1:2">
      <c r="A46" t="s">
        <v>146</v>
      </c>
      <c r="B46" s="191">
        <v>1</v>
      </c>
    </row>
    <row r="47" spans="1:2">
      <c r="A47" t="s">
        <v>148</v>
      </c>
      <c r="B47" s="191">
        <v>1</v>
      </c>
    </row>
    <row r="48" spans="1:2">
      <c r="A48" t="s">
        <v>150</v>
      </c>
      <c r="B48" s="191">
        <v>0.75</v>
      </c>
    </row>
    <row r="49" spans="1:2">
      <c r="A49" t="s">
        <v>152</v>
      </c>
      <c r="B49" s="191">
        <v>1</v>
      </c>
    </row>
    <row r="50" spans="1:2">
      <c r="A50" t="s">
        <v>154</v>
      </c>
      <c r="B50" s="191">
        <v>1</v>
      </c>
    </row>
    <row r="51" spans="1:2">
      <c r="A51" t="s">
        <v>156</v>
      </c>
      <c r="B51" s="191">
        <v>0.875</v>
      </c>
    </row>
    <row r="52" spans="1:2">
      <c r="A52" t="s">
        <v>158</v>
      </c>
      <c r="B52" s="191">
        <v>0.625</v>
      </c>
    </row>
    <row r="53" spans="1:2">
      <c r="A53" t="s">
        <v>160</v>
      </c>
      <c r="B53" s="191">
        <v>0.875</v>
      </c>
    </row>
    <row r="54" spans="1:2">
      <c r="A54" t="s">
        <v>162</v>
      </c>
      <c r="B54" s="191">
        <v>0.875</v>
      </c>
    </row>
    <row r="55" spans="1:2">
      <c r="A55" t="s">
        <v>164</v>
      </c>
      <c r="B55" s="191">
        <v>0.875</v>
      </c>
    </row>
    <row r="56" spans="1:2">
      <c r="A56" t="s">
        <v>166</v>
      </c>
      <c r="B56" s="191">
        <v>1</v>
      </c>
    </row>
    <row r="57" spans="1:2">
      <c r="A57" t="s">
        <v>168</v>
      </c>
      <c r="B57" s="191">
        <v>0.875</v>
      </c>
    </row>
    <row r="58" spans="1:2">
      <c r="A58" t="s">
        <v>170</v>
      </c>
      <c r="B58" s="191">
        <v>0.125</v>
      </c>
    </row>
    <row r="59" spans="1:2">
      <c r="A59" t="s">
        <v>172</v>
      </c>
      <c r="B59" s="191">
        <v>0.5</v>
      </c>
    </row>
    <row r="60" spans="1:2">
      <c r="A60" t="s">
        <v>174</v>
      </c>
      <c r="B60" s="191">
        <v>1</v>
      </c>
    </row>
    <row r="61" spans="1:2">
      <c r="A61" t="s">
        <v>176</v>
      </c>
      <c r="B61" s="191">
        <v>1</v>
      </c>
    </row>
    <row r="62" spans="1:2">
      <c r="A62" t="s">
        <v>178</v>
      </c>
      <c r="B62" s="191">
        <v>0.875</v>
      </c>
    </row>
    <row r="63" spans="1:2">
      <c r="A63" t="s">
        <v>180</v>
      </c>
      <c r="B63" s="191">
        <v>1</v>
      </c>
    </row>
    <row r="64" spans="1:2">
      <c r="A64" t="s">
        <v>182</v>
      </c>
      <c r="B64" s="191">
        <v>1</v>
      </c>
    </row>
  </sheetData>
  <sortState xmlns:xlrd2="http://schemas.microsoft.com/office/spreadsheetml/2017/richdata2" ref="A3:B64">
    <sortCondition ref="A3:A64"/>
  </sortState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WEST</vt:lpstr>
      <vt:lpstr>By Market</vt:lpstr>
      <vt:lpstr>By Store</vt:lpstr>
      <vt:lpstr>WORKSHEET</vt:lpstr>
      <vt:lpstr>KEY</vt:lpstr>
      <vt:lpstr>FRCRNK_ALLSTAR</vt:lpstr>
      <vt:lpstr>CLIPBOARD</vt:lpstr>
      <vt:lpstr>SPRC_EXP</vt:lpstr>
      <vt:lpstr>'By Market'!Print_Area</vt:lpstr>
      <vt:lpstr>'By Store'!Print_Area</vt:lpstr>
      <vt:lpstr>WEST!Print_Area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Scheffer</dc:creator>
  <cp:keywords/>
  <dc:description/>
  <cp:lastModifiedBy>Gilbert,Preston</cp:lastModifiedBy>
  <cp:revision/>
  <dcterms:created xsi:type="dcterms:W3CDTF">2022-01-06T17:33:41Z</dcterms:created>
  <dcterms:modified xsi:type="dcterms:W3CDTF">2026-01-09T20:02:48Z</dcterms:modified>
  <cp:category/>
  <cp:contentStatus/>
</cp:coreProperties>
</file>