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12.25/"/>
    </mc:Choice>
  </mc:AlternateContent>
  <xr:revisionPtr revIDLastSave="1344" documentId="8_{EB0460B7-EFA4-40FD-9D78-A88D53E88B6C}" xr6:coauthVersionLast="47" xr6:coauthVersionMax="47" xr10:uidLastSave="{91E8ACD1-692C-4394-8D68-FFC817D66278}"/>
  <bookViews>
    <workbookView xWindow="38290" yWindow="-110" windowWidth="38620" windowHeight="21100" xr2:uid="{00000000-000D-0000-FFFF-FFFF00000000}"/>
  </bookViews>
  <sheets>
    <sheet name="Force Rank" sheetId="11" r:id="rId1"/>
    <sheet name="Current Month By Brand" sheetId="1" r:id="rId2"/>
    <sheet name="WORKSHEET" sheetId="2" state="hidden" r:id="rId3"/>
    <sheet name="KEY" sheetId="13" state="hidden" r:id="rId4"/>
  </sheets>
  <definedNames>
    <definedName name="_xlnm.Print_Area" localSheetId="1">'Current Month By Brand'!$D$1:$P$108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5" i="2" l="1"/>
  <c r="H126" i="2" l="1"/>
  <c r="M126" i="2"/>
  <c r="N126" i="2"/>
  <c r="T126" i="2"/>
  <c r="H127" i="2"/>
  <c r="M127" i="2"/>
  <c r="N127" i="2"/>
  <c r="T127" i="2"/>
  <c r="H128" i="2"/>
  <c r="M128" i="2"/>
  <c r="N128" i="2"/>
  <c r="T128" i="2"/>
  <c r="H129" i="2"/>
  <c r="M129" i="2"/>
  <c r="N129" i="2"/>
  <c r="T129" i="2"/>
  <c r="H130" i="2"/>
  <c r="M130" i="2"/>
  <c r="N130" i="2"/>
  <c r="T130" i="2"/>
  <c r="H131" i="2"/>
  <c r="M131" i="2"/>
  <c r="N131" i="2"/>
  <c r="T131" i="2"/>
  <c r="H132" i="2"/>
  <c r="M132" i="2"/>
  <c r="N132" i="2"/>
  <c r="T132" i="2"/>
  <c r="H133" i="2"/>
  <c r="M133" i="2"/>
  <c r="N133" i="2"/>
  <c r="L133" i="2" s="1"/>
  <c r="T133" i="2"/>
  <c r="H134" i="2"/>
  <c r="M134" i="2"/>
  <c r="N134" i="2"/>
  <c r="T134" i="2"/>
  <c r="H135" i="2"/>
  <c r="M135" i="2"/>
  <c r="N135" i="2"/>
  <c r="T135" i="2"/>
  <c r="H136" i="2"/>
  <c r="M136" i="2"/>
  <c r="N136" i="2"/>
  <c r="T136" i="2"/>
  <c r="H137" i="2"/>
  <c r="M137" i="2"/>
  <c r="N137" i="2"/>
  <c r="T137" i="2"/>
  <c r="H138" i="2"/>
  <c r="M138" i="2"/>
  <c r="N138" i="2"/>
  <c r="T138" i="2"/>
  <c r="H139" i="2"/>
  <c r="M139" i="2"/>
  <c r="N139" i="2"/>
  <c r="T139" i="2"/>
  <c r="H140" i="2"/>
  <c r="M140" i="2"/>
  <c r="N140" i="2"/>
  <c r="T140" i="2"/>
  <c r="H141" i="2"/>
  <c r="M141" i="2"/>
  <c r="N141" i="2"/>
  <c r="T141" i="2"/>
  <c r="H142" i="2"/>
  <c r="M142" i="2"/>
  <c r="N142" i="2"/>
  <c r="T142" i="2"/>
  <c r="H143" i="2"/>
  <c r="M143" i="2"/>
  <c r="N143" i="2"/>
  <c r="T143" i="2"/>
  <c r="H144" i="2"/>
  <c r="M144" i="2"/>
  <c r="N144" i="2"/>
  <c r="T144" i="2"/>
  <c r="H145" i="2"/>
  <c r="M145" i="2"/>
  <c r="N145" i="2"/>
  <c r="T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Q146" i="2"/>
  <c r="P146" i="2" s="1"/>
  <c r="R146" i="2"/>
  <c r="S146" i="2"/>
  <c r="T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Q147" i="2"/>
  <c r="P147" i="2" s="1"/>
  <c r="R147" i="2"/>
  <c r="S147" i="2"/>
  <c r="T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Q148" i="2"/>
  <c r="P148" i="2" s="1"/>
  <c r="R148" i="2"/>
  <c r="S148" i="2"/>
  <c r="T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Q149" i="2"/>
  <c r="P149" i="2" s="1"/>
  <c r="R149" i="2"/>
  <c r="S149" i="2"/>
  <c r="T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Q150" i="2"/>
  <c r="P150" i="2" s="1"/>
  <c r="R150" i="2"/>
  <c r="S150" i="2"/>
  <c r="T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Q151" i="2"/>
  <c r="P151" i="2" s="1"/>
  <c r="R151" i="2"/>
  <c r="S151" i="2"/>
  <c r="T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Q152" i="2"/>
  <c r="P152" i="2" s="1"/>
  <c r="R152" i="2"/>
  <c r="S152" i="2"/>
  <c r="T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Q153" i="2"/>
  <c r="P153" i="2" s="1"/>
  <c r="R153" i="2"/>
  <c r="S153" i="2"/>
  <c r="T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Q154" i="2"/>
  <c r="P154" i="2" s="1"/>
  <c r="R154" i="2"/>
  <c r="S154" i="2"/>
  <c r="T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Q155" i="2"/>
  <c r="P155" i="2" s="1"/>
  <c r="R155" i="2"/>
  <c r="S155" i="2"/>
  <c r="T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Q156" i="2"/>
  <c r="P156" i="2" s="1"/>
  <c r="R156" i="2"/>
  <c r="S156" i="2"/>
  <c r="T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Q157" i="2"/>
  <c r="P157" i="2" s="1"/>
  <c r="R157" i="2"/>
  <c r="S157" i="2"/>
  <c r="T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Q158" i="2"/>
  <c r="P158" i="2" s="1"/>
  <c r="R158" i="2"/>
  <c r="S158" i="2"/>
  <c r="T158" i="2"/>
  <c r="H108" i="2"/>
  <c r="M108" i="2"/>
  <c r="N108" i="2"/>
  <c r="T108" i="2"/>
  <c r="H109" i="2"/>
  <c r="M109" i="2"/>
  <c r="N109" i="2"/>
  <c r="T109" i="2"/>
  <c r="H110" i="2"/>
  <c r="M110" i="2"/>
  <c r="N110" i="2"/>
  <c r="T110" i="2"/>
  <c r="H111" i="2"/>
  <c r="M111" i="2"/>
  <c r="N111" i="2"/>
  <c r="T111" i="2"/>
  <c r="H112" i="2"/>
  <c r="M112" i="2"/>
  <c r="N112" i="2"/>
  <c r="T112" i="2"/>
  <c r="H113" i="2"/>
  <c r="M113" i="2"/>
  <c r="N113" i="2"/>
  <c r="T113" i="2"/>
  <c r="H114" i="2"/>
  <c r="M114" i="2"/>
  <c r="N114" i="2"/>
  <c r="T114" i="2"/>
  <c r="H115" i="2"/>
  <c r="M115" i="2"/>
  <c r="N115" i="2"/>
  <c r="T115" i="2"/>
  <c r="H116" i="2"/>
  <c r="M116" i="2"/>
  <c r="N116" i="2"/>
  <c r="T116" i="2"/>
  <c r="H117" i="2"/>
  <c r="M117" i="2"/>
  <c r="N117" i="2"/>
  <c r="T117" i="2"/>
  <c r="H118" i="2"/>
  <c r="M118" i="2"/>
  <c r="N118" i="2"/>
  <c r="T118" i="2"/>
  <c r="H119" i="2"/>
  <c r="M119" i="2"/>
  <c r="N119" i="2"/>
  <c r="T119" i="2"/>
  <c r="H120" i="2"/>
  <c r="M120" i="2"/>
  <c r="N120" i="2"/>
  <c r="T120" i="2"/>
  <c r="H121" i="2"/>
  <c r="M121" i="2"/>
  <c r="N121" i="2"/>
  <c r="T121" i="2"/>
  <c r="H122" i="2"/>
  <c r="M122" i="2"/>
  <c r="N122" i="2"/>
  <c r="T122" i="2"/>
  <c r="H123" i="2"/>
  <c r="M123" i="2"/>
  <c r="N123" i="2"/>
  <c r="T123" i="2"/>
  <c r="H124" i="2"/>
  <c r="M124" i="2"/>
  <c r="N124" i="2"/>
  <c r="T124" i="2"/>
  <c r="H125" i="2"/>
  <c r="M125" i="2"/>
  <c r="N125" i="2"/>
  <c r="T125" i="2"/>
  <c r="H107" i="2"/>
  <c r="M107" i="2"/>
  <c r="N107" i="2"/>
  <c r="T107" i="2"/>
  <c r="L120" i="2" l="1"/>
  <c r="L128" i="2"/>
  <c r="L140" i="2"/>
  <c r="L132" i="2"/>
  <c r="L136" i="2"/>
  <c r="L122" i="2"/>
  <c r="L139" i="2"/>
  <c r="L134" i="2"/>
  <c r="L142" i="2"/>
  <c r="L116" i="2"/>
  <c r="L115" i="2"/>
  <c r="L143" i="2"/>
  <c r="L135" i="2"/>
  <c r="L127" i="2"/>
  <c r="L107" i="2"/>
  <c r="L110" i="2"/>
  <c r="L125" i="2"/>
  <c r="L141" i="2"/>
  <c r="L130" i="2"/>
  <c r="L112" i="2"/>
  <c r="L121" i="2"/>
  <c r="L113" i="2"/>
  <c r="L129" i="2"/>
  <c r="L144" i="2"/>
  <c r="L145" i="2"/>
  <c r="L131" i="2"/>
  <c r="L123" i="2"/>
  <c r="L117" i="2"/>
  <c r="L124" i="2"/>
  <c r="L119" i="2"/>
  <c r="L111" i="2"/>
  <c r="L114" i="2"/>
  <c r="L109" i="2"/>
  <c r="L108" i="2"/>
  <c r="L138" i="2"/>
  <c r="L137" i="2"/>
  <c r="L126" i="2"/>
  <c r="L118" i="2"/>
  <c r="T4" i="2" l="1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4" i="2"/>
  <c r="M5" i="2"/>
  <c r="M6" i="2"/>
  <c r="M7" i="2"/>
  <c r="M8" i="2"/>
  <c r="M9" i="2"/>
  <c r="M10" i="2"/>
  <c r="M11" i="2"/>
  <c r="M12" i="2"/>
  <c r="M13" i="2"/>
  <c r="M14" i="2"/>
  <c r="M15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4" i="2"/>
  <c r="R316" i="2"/>
  <c r="R317" i="2"/>
  <c r="R318" i="2"/>
  <c r="R319" i="2"/>
  <c r="R320" i="2"/>
  <c r="R321" i="2"/>
  <c r="R322" i="2"/>
  <c r="R323" i="2"/>
  <c r="R324" i="2"/>
  <c r="R325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256" i="2"/>
  <c r="K316" i="2"/>
  <c r="K317" i="2"/>
  <c r="K318" i="2"/>
  <c r="K319" i="2"/>
  <c r="K320" i="2"/>
  <c r="K321" i="2"/>
  <c r="K322" i="2"/>
  <c r="K323" i="2"/>
  <c r="K324" i="2"/>
  <c r="K325" i="2"/>
  <c r="H257" i="2"/>
  <c r="M257" i="2"/>
  <c r="T257" i="2"/>
  <c r="H258" i="2"/>
  <c r="M258" i="2"/>
  <c r="T258" i="2"/>
  <c r="H259" i="2"/>
  <c r="M259" i="2"/>
  <c r="T259" i="2"/>
  <c r="H260" i="2"/>
  <c r="M260" i="2"/>
  <c r="T260" i="2"/>
  <c r="H261" i="2"/>
  <c r="M261" i="2"/>
  <c r="T261" i="2"/>
  <c r="H262" i="2"/>
  <c r="M262" i="2"/>
  <c r="T262" i="2"/>
  <c r="H263" i="2"/>
  <c r="M263" i="2"/>
  <c r="T263" i="2"/>
  <c r="H264" i="2"/>
  <c r="M264" i="2"/>
  <c r="T264" i="2"/>
  <c r="H265" i="2"/>
  <c r="T265" i="2"/>
  <c r="H266" i="2"/>
  <c r="M266" i="2"/>
  <c r="T266" i="2"/>
  <c r="H267" i="2"/>
  <c r="M267" i="2"/>
  <c r="T267" i="2"/>
  <c r="H268" i="2"/>
  <c r="M268" i="2"/>
  <c r="T268" i="2"/>
  <c r="H269" i="2"/>
  <c r="M269" i="2"/>
  <c r="T269" i="2"/>
  <c r="H270" i="2"/>
  <c r="M270" i="2"/>
  <c r="T270" i="2"/>
  <c r="H271" i="2"/>
  <c r="M271" i="2"/>
  <c r="T271" i="2"/>
  <c r="H272" i="2"/>
  <c r="M272" i="2"/>
  <c r="T272" i="2"/>
  <c r="H273" i="2"/>
  <c r="M273" i="2"/>
  <c r="T273" i="2"/>
  <c r="H274" i="2"/>
  <c r="M274" i="2"/>
  <c r="T274" i="2"/>
  <c r="H275" i="2"/>
  <c r="M275" i="2"/>
  <c r="T275" i="2"/>
  <c r="H276" i="2"/>
  <c r="M276" i="2"/>
  <c r="T276" i="2"/>
  <c r="H277" i="2"/>
  <c r="M277" i="2"/>
  <c r="T277" i="2"/>
  <c r="H278" i="2"/>
  <c r="M278" i="2"/>
  <c r="T278" i="2"/>
  <c r="H279" i="2"/>
  <c r="M279" i="2"/>
  <c r="T279" i="2"/>
  <c r="H280" i="2"/>
  <c r="M280" i="2"/>
  <c r="T280" i="2"/>
  <c r="H281" i="2"/>
  <c r="M281" i="2"/>
  <c r="T281" i="2"/>
  <c r="H282" i="2"/>
  <c r="M282" i="2"/>
  <c r="T282" i="2"/>
  <c r="H283" i="2"/>
  <c r="M283" i="2"/>
  <c r="T283" i="2"/>
  <c r="H284" i="2"/>
  <c r="M284" i="2"/>
  <c r="T284" i="2"/>
  <c r="H285" i="2"/>
  <c r="M285" i="2"/>
  <c r="T285" i="2"/>
  <c r="H286" i="2"/>
  <c r="M286" i="2"/>
  <c r="T286" i="2"/>
  <c r="H287" i="2"/>
  <c r="M287" i="2"/>
  <c r="T287" i="2"/>
  <c r="H288" i="2"/>
  <c r="M288" i="2"/>
  <c r="T288" i="2"/>
  <c r="H289" i="2"/>
  <c r="M289" i="2"/>
  <c r="T289" i="2"/>
  <c r="H290" i="2"/>
  <c r="M290" i="2"/>
  <c r="T290" i="2"/>
  <c r="H291" i="2"/>
  <c r="M291" i="2"/>
  <c r="T291" i="2"/>
  <c r="H292" i="2"/>
  <c r="M292" i="2"/>
  <c r="T292" i="2"/>
  <c r="H293" i="2"/>
  <c r="M293" i="2"/>
  <c r="T293" i="2"/>
  <c r="H294" i="2"/>
  <c r="M294" i="2"/>
  <c r="T294" i="2"/>
  <c r="H295" i="2"/>
  <c r="M295" i="2"/>
  <c r="T295" i="2"/>
  <c r="H296" i="2"/>
  <c r="M296" i="2"/>
  <c r="T296" i="2"/>
  <c r="H297" i="2"/>
  <c r="M297" i="2"/>
  <c r="T297" i="2"/>
  <c r="H298" i="2"/>
  <c r="M298" i="2"/>
  <c r="T298" i="2"/>
  <c r="H299" i="2"/>
  <c r="M299" i="2"/>
  <c r="T299" i="2"/>
  <c r="H300" i="2"/>
  <c r="M300" i="2"/>
  <c r="T300" i="2"/>
  <c r="H301" i="2"/>
  <c r="M301" i="2"/>
  <c r="T301" i="2"/>
  <c r="H302" i="2"/>
  <c r="M302" i="2"/>
  <c r="T302" i="2"/>
  <c r="H303" i="2"/>
  <c r="M303" i="2"/>
  <c r="T303" i="2"/>
  <c r="H304" i="2"/>
  <c r="M304" i="2"/>
  <c r="T304" i="2"/>
  <c r="H305" i="2"/>
  <c r="M305" i="2"/>
  <c r="T305" i="2"/>
  <c r="H306" i="2"/>
  <c r="M306" i="2"/>
  <c r="T306" i="2"/>
  <c r="H307" i="2"/>
  <c r="M307" i="2"/>
  <c r="T307" i="2"/>
  <c r="H308" i="2"/>
  <c r="M308" i="2"/>
  <c r="T308" i="2"/>
  <c r="H309" i="2"/>
  <c r="M309" i="2"/>
  <c r="T309" i="2"/>
  <c r="H310" i="2"/>
  <c r="M310" i="2"/>
  <c r="T310" i="2"/>
  <c r="H311" i="2"/>
  <c r="M311" i="2"/>
  <c r="T311" i="2"/>
  <c r="H312" i="2"/>
  <c r="M312" i="2"/>
  <c r="T312" i="2"/>
  <c r="H313" i="2"/>
  <c r="M313" i="2"/>
  <c r="T313" i="2"/>
  <c r="H314" i="2"/>
  <c r="M314" i="2"/>
  <c r="T314" i="2"/>
  <c r="H315" i="2"/>
  <c r="M315" i="2"/>
  <c r="T315" i="2"/>
  <c r="B316" i="2"/>
  <c r="C316" i="2"/>
  <c r="D316" i="2"/>
  <c r="E316" i="2"/>
  <c r="F316" i="2"/>
  <c r="G316" i="2"/>
  <c r="H316" i="2"/>
  <c r="I316" i="2"/>
  <c r="J316" i="2"/>
  <c r="L316" i="2"/>
  <c r="M316" i="2"/>
  <c r="O316" i="2"/>
  <c r="Q316" i="2"/>
  <c r="P316" i="2" s="1"/>
  <c r="S316" i="2"/>
  <c r="T316" i="2"/>
  <c r="B317" i="2"/>
  <c r="C317" i="2"/>
  <c r="D317" i="2"/>
  <c r="E317" i="2"/>
  <c r="F317" i="2"/>
  <c r="G317" i="2"/>
  <c r="H317" i="2"/>
  <c r="I317" i="2"/>
  <c r="J317" i="2"/>
  <c r="L317" i="2"/>
  <c r="M317" i="2"/>
  <c r="O317" i="2"/>
  <c r="Q317" i="2"/>
  <c r="P317" i="2" s="1"/>
  <c r="S317" i="2"/>
  <c r="T317" i="2"/>
  <c r="B318" i="2"/>
  <c r="C318" i="2"/>
  <c r="D318" i="2"/>
  <c r="E318" i="2"/>
  <c r="F318" i="2"/>
  <c r="G318" i="2"/>
  <c r="H318" i="2"/>
  <c r="I318" i="2"/>
  <c r="J318" i="2"/>
  <c r="L318" i="2"/>
  <c r="M318" i="2"/>
  <c r="O318" i="2"/>
  <c r="Q318" i="2"/>
  <c r="P318" i="2" s="1"/>
  <c r="S318" i="2"/>
  <c r="T318" i="2"/>
  <c r="B319" i="2"/>
  <c r="C319" i="2"/>
  <c r="D319" i="2"/>
  <c r="E319" i="2"/>
  <c r="F319" i="2"/>
  <c r="G319" i="2"/>
  <c r="H319" i="2"/>
  <c r="I319" i="2"/>
  <c r="J319" i="2"/>
  <c r="L319" i="2"/>
  <c r="M319" i="2"/>
  <c r="O319" i="2"/>
  <c r="Q319" i="2"/>
  <c r="P319" i="2" s="1"/>
  <c r="S319" i="2"/>
  <c r="T319" i="2"/>
  <c r="B320" i="2"/>
  <c r="C320" i="2"/>
  <c r="D320" i="2"/>
  <c r="E320" i="2"/>
  <c r="F320" i="2"/>
  <c r="G320" i="2"/>
  <c r="H320" i="2"/>
  <c r="I320" i="2"/>
  <c r="J320" i="2"/>
  <c r="L320" i="2"/>
  <c r="M320" i="2"/>
  <c r="O320" i="2"/>
  <c r="Q320" i="2"/>
  <c r="P320" i="2" s="1"/>
  <c r="S320" i="2"/>
  <c r="T320" i="2"/>
  <c r="B321" i="2"/>
  <c r="C321" i="2"/>
  <c r="D321" i="2"/>
  <c r="E321" i="2"/>
  <c r="F321" i="2"/>
  <c r="G321" i="2"/>
  <c r="H321" i="2"/>
  <c r="I321" i="2"/>
  <c r="J321" i="2"/>
  <c r="L321" i="2"/>
  <c r="M321" i="2"/>
  <c r="O321" i="2"/>
  <c r="Q321" i="2"/>
  <c r="P321" i="2" s="1"/>
  <c r="S321" i="2"/>
  <c r="T321" i="2"/>
  <c r="B322" i="2"/>
  <c r="C322" i="2"/>
  <c r="D322" i="2"/>
  <c r="E322" i="2"/>
  <c r="F322" i="2"/>
  <c r="G322" i="2"/>
  <c r="H322" i="2"/>
  <c r="I322" i="2"/>
  <c r="J322" i="2"/>
  <c r="L322" i="2"/>
  <c r="M322" i="2"/>
  <c r="O322" i="2"/>
  <c r="Q322" i="2"/>
  <c r="P322" i="2" s="1"/>
  <c r="S322" i="2"/>
  <c r="T322" i="2"/>
  <c r="B323" i="2"/>
  <c r="C323" i="2"/>
  <c r="D323" i="2"/>
  <c r="E323" i="2"/>
  <c r="F323" i="2"/>
  <c r="G323" i="2"/>
  <c r="H323" i="2"/>
  <c r="I323" i="2"/>
  <c r="J323" i="2"/>
  <c r="L323" i="2"/>
  <c r="M323" i="2"/>
  <c r="O323" i="2"/>
  <c r="Q323" i="2"/>
  <c r="P323" i="2" s="1"/>
  <c r="S323" i="2"/>
  <c r="T323" i="2"/>
  <c r="B324" i="2"/>
  <c r="C324" i="2"/>
  <c r="D324" i="2"/>
  <c r="E324" i="2"/>
  <c r="F324" i="2"/>
  <c r="G324" i="2"/>
  <c r="H324" i="2"/>
  <c r="I324" i="2"/>
  <c r="J324" i="2"/>
  <c r="L324" i="2"/>
  <c r="M324" i="2"/>
  <c r="O324" i="2"/>
  <c r="Q324" i="2"/>
  <c r="P324" i="2" s="1"/>
  <c r="S324" i="2"/>
  <c r="T324" i="2"/>
  <c r="B325" i="2"/>
  <c r="C325" i="2"/>
  <c r="D325" i="2"/>
  <c r="E325" i="2"/>
  <c r="F325" i="2"/>
  <c r="G325" i="2"/>
  <c r="H325" i="2"/>
  <c r="I325" i="2"/>
  <c r="J325" i="2"/>
  <c r="L325" i="2"/>
  <c r="M325" i="2"/>
  <c r="O325" i="2"/>
  <c r="Q325" i="2"/>
  <c r="P325" i="2" s="1"/>
  <c r="S325" i="2"/>
  <c r="T325" i="2"/>
  <c r="T326" i="2"/>
  <c r="H256" i="2"/>
  <c r="M256" i="2"/>
  <c r="T256" i="2"/>
  <c r="S74" i="2"/>
  <c r="R74" i="2"/>
  <c r="Q74" i="2"/>
  <c r="P74" i="2" s="1"/>
  <c r="O74" i="2"/>
  <c r="N74" i="2"/>
  <c r="L74" i="2"/>
  <c r="K74" i="2"/>
  <c r="J74" i="2"/>
  <c r="I74" i="2"/>
  <c r="G74" i="2"/>
  <c r="F74" i="2"/>
  <c r="E74" i="2"/>
  <c r="D74" i="2"/>
  <c r="C74" i="2"/>
  <c r="B74" i="2"/>
  <c r="S73" i="2"/>
  <c r="R73" i="2"/>
  <c r="Q73" i="2"/>
  <c r="P73" i="2" s="1"/>
  <c r="O73" i="2"/>
  <c r="N73" i="2"/>
  <c r="L73" i="2"/>
  <c r="K73" i="2"/>
  <c r="J73" i="2"/>
  <c r="I73" i="2"/>
  <c r="G73" i="2"/>
  <c r="F73" i="2"/>
  <c r="E73" i="2"/>
  <c r="D73" i="2"/>
  <c r="C73" i="2"/>
  <c r="B73" i="2"/>
  <c r="S72" i="2"/>
  <c r="R72" i="2"/>
  <c r="Q72" i="2"/>
  <c r="P72" i="2" s="1"/>
  <c r="O72" i="2"/>
  <c r="N72" i="2"/>
  <c r="L72" i="2"/>
  <c r="K72" i="2"/>
  <c r="J72" i="2"/>
  <c r="I72" i="2"/>
  <c r="G72" i="2"/>
  <c r="F72" i="2"/>
  <c r="E72" i="2"/>
  <c r="D72" i="2"/>
  <c r="C72" i="2"/>
  <c r="B72" i="2"/>
  <c r="S71" i="2"/>
  <c r="R71" i="2"/>
  <c r="Q71" i="2"/>
  <c r="P71" i="2" s="1"/>
  <c r="O71" i="2"/>
  <c r="N71" i="2"/>
  <c r="L71" i="2"/>
  <c r="K71" i="2"/>
  <c r="J71" i="2"/>
  <c r="I71" i="2"/>
  <c r="G71" i="2"/>
  <c r="F71" i="2"/>
  <c r="E71" i="2"/>
  <c r="D71" i="2"/>
  <c r="C71" i="2"/>
  <c r="B71" i="2"/>
  <c r="S70" i="2"/>
  <c r="R70" i="2"/>
  <c r="Q70" i="2"/>
  <c r="P70" i="2" s="1"/>
  <c r="O70" i="2"/>
  <c r="N70" i="2"/>
  <c r="L70" i="2"/>
  <c r="K70" i="2"/>
  <c r="J70" i="2"/>
  <c r="I70" i="2"/>
  <c r="G70" i="2"/>
  <c r="F70" i="2"/>
  <c r="E70" i="2"/>
  <c r="D70" i="2"/>
  <c r="C70" i="2"/>
  <c r="B70" i="2"/>
  <c r="S69" i="2"/>
  <c r="R69" i="2"/>
  <c r="Q69" i="2"/>
  <c r="P69" i="2" s="1"/>
  <c r="O69" i="2"/>
  <c r="N69" i="2"/>
  <c r="L69" i="2"/>
  <c r="K69" i="2"/>
  <c r="J69" i="2"/>
  <c r="I69" i="2"/>
  <c r="G69" i="2"/>
  <c r="F69" i="2"/>
  <c r="E69" i="2"/>
  <c r="D69" i="2"/>
  <c r="C69" i="2"/>
  <c r="B69" i="2"/>
  <c r="S68" i="2"/>
  <c r="R68" i="2"/>
  <c r="Q68" i="2"/>
  <c r="P68" i="2" s="1"/>
  <c r="O68" i="2"/>
  <c r="N68" i="2"/>
  <c r="L68" i="2"/>
  <c r="K68" i="2"/>
  <c r="J68" i="2"/>
  <c r="I68" i="2"/>
  <c r="G68" i="2"/>
  <c r="F68" i="2"/>
  <c r="E68" i="2"/>
  <c r="D68" i="2"/>
  <c r="C68" i="2"/>
  <c r="B68" i="2"/>
  <c r="S67" i="2"/>
  <c r="R67" i="2"/>
  <c r="Q67" i="2"/>
  <c r="P67" i="2" s="1"/>
  <c r="O67" i="2"/>
  <c r="N67" i="2"/>
  <c r="L67" i="2"/>
  <c r="K67" i="2"/>
  <c r="J67" i="2"/>
  <c r="I67" i="2"/>
  <c r="G67" i="2"/>
  <c r="F67" i="2"/>
  <c r="E67" i="2"/>
  <c r="D67" i="2"/>
  <c r="C67" i="2"/>
  <c r="B67" i="2"/>
  <c r="S66" i="2"/>
  <c r="R66" i="2"/>
  <c r="Q66" i="2"/>
  <c r="P66" i="2" s="1"/>
  <c r="O66" i="2"/>
  <c r="N66" i="2"/>
  <c r="L66" i="2"/>
  <c r="K66" i="2"/>
  <c r="J66" i="2"/>
  <c r="I66" i="2"/>
  <c r="G66" i="2"/>
  <c r="F66" i="2"/>
  <c r="E66" i="2"/>
  <c r="D66" i="2"/>
  <c r="C66" i="2"/>
  <c r="B66" i="2"/>
  <c r="S65" i="2"/>
  <c r="R65" i="2"/>
  <c r="Q65" i="2"/>
  <c r="P65" i="2" s="1"/>
  <c r="O65" i="2"/>
  <c r="N65" i="2"/>
  <c r="L65" i="2"/>
  <c r="K65" i="2"/>
  <c r="J65" i="2"/>
  <c r="I65" i="2"/>
  <c r="G65" i="2"/>
  <c r="F65" i="2"/>
  <c r="E65" i="2"/>
  <c r="D65" i="2"/>
  <c r="C65" i="2"/>
  <c r="B65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L20" i="2" s="1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L18" i="2" l="1"/>
  <c r="L19" i="2"/>
  <c r="L57" i="2"/>
  <c r="L6" i="2"/>
  <c r="L38" i="2"/>
  <c r="L41" i="2"/>
  <c r="L315" i="2"/>
  <c r="R314" i="2"/>
  <c r="F315" i="2"/>
  <c r="G315" i="2"/>
  <c r="R315" i="2"/>
  <c r="L49" i="2"/>
  <c r="L7" i="2"/>
  <c r="L10" i="2"/>
  <c r="L314" i="2"/>
  <c r="L313" i="2"/>
  <c r="L310" i="2"/>
  <c r="L309" i="2"/>
  <c r="L307" i="2"/>
  <c r="L296" i="2"/>
  <c r="L295" i="2"/>
  <c r="L294" i="2"/>
  <c r="L293" i="2"/>
  <c r="L292" i="2"/>
  <c r="L278" i="2"/>
  <c r="L277" i="2"/>
  <c r="L276" i="2"/>
  <c r="L275" i="2"/>
  <c r="L256" i="2"/>
  <c r="L270" i="2"/>
  <c r="L30" i="2"/>
  <c r="G314" i="2"/>
  <c r="F314" i="2"/>
  <c r="R313" i="2"/>
  <c r="L312" i="2"/>
  <c r="L297" i="2"/>
  <c r="L287" i="2"/>
  <c r="L286" i="2"/>
  <c r="L289" i="2"/>
  <c r="L290" i="2"/>
  <c r="L291" i="2"/>
  <c r="L34" i="2"/>
  <c r="L36" i="2"/>
  <c r="L35" i="2"/>
  <c r="L284" i="2"/>
  <c r="L23" i="2"/>
  <c r="L21" i="2"/>
  <c r="L264" i="2"/>
  <c r="L257" i="2"/>
  <c r="L258" i="2"/>
  <c r="L9" i="2"/>
  <c r="L8" i="2"/>
  <c r="L13" i="2"/>
  <c r="L16" i="2"/>
  <c r="L17" i="2"/>
  <c r="L4" i="2"/>
  <c r="L5" i="2"/>
  <c r="L62" i="2"/>
  <c r="L55" i="2"/>
  <c r="L48" i="2"/>
  <c r="L47" i="2"/>
  <c r="L28" i="2"/>
  <c r="R311" i="2"/>
  <c r="R312" i="2"/>
  <c r="R306" i="2"/>
  <c r="F311" i="2"/>
  <c r="R310" i="2"/>
  <c r="L53" i="2"/>
  <c r="L306" i="2"/>
  <c r="R305" i="2"/>
  <c r="L305" i="2"/>
  <c r="R296" i="2"/>
  <c r="L304" i="2"/>
  <c r="L303" i="2"/>
  <c r="R302" i="2"/>
  <c r="R304" i="2"/>
  <c r="R307" i="2"/>
  <c r="L50" i="2"/>
  <c r="L302" i="2"/>
  <c r="R303" i="2"/>
  <c r="R301" i="2"/>
  <c r="F296" i="2"/>
  <c r="R295" i="2"/>
  <c r="R309" i="2"/>
  <c r="R300" i="2"/>
  <c r="L301" i="2"/>
  <c r="L262" i="2"/>
  <c r="R308" i="2"/>
  <c r="F306" i="2"/>
  <c r="L308" i="2"/>
  <c r="R294" i="2"/>
  <c r="G293" i="2"/>
  <c r="R297" i="2"/>
  <c r="L51" i="2"/>
  <c r="L52" i="2"/>
  <c r="R284" i="2"/>
  <c r="R299" i="2"/>
  <c r="R298" i="2"/>
  <c r="R293" i="2"/>
  <c r="R289" i="2"/>
  <c r="R292" i="2"/>
  <c r="R291" i="2"/>
  <c r="L288" i="2"/>
  <c r="G297" i="2"/>
  <c r="L299" i="2"/>
  <c r="L298" i="2"/>
  <c r="G283" i="2"/>
  <c r="L300" i="2"/>
  <c r="R282" i="2"/>
  <c r="L283" i="2"/>
  <c r="R290" i="2"/>
  <c r="R279" i="2"/>
  <c r="R287" i="2"/>
  <c r="R286" i="2"/>
  <c r="R275" i="2"/>
  <c r="L261" i="2"/>
  <c r="R288" i="2"/>
  <c r="R283" i="2"/>
  <c r="L271" i="2"/>
  <c r="R285" i="2"/>
  <c r="G285" i="2"/>
  <c r="R277" i="2"/>
  <c r="R276" i="2"/>
  <c r="F285" i="2"/>
  <c r="R281" i="2"/>
  <c r="R280" i="2"/>
  <c r="L263" i="2"/>
  <c r="R278" i="2"/>
  <c r="L281" i="2"/>
  <c r="L282" i="2"/>
  <c r="L280" i="2"/>
  <c r="L24" i="2"/>
  <c r="L27" i="2"/>
  <c r="L15" i="2"/>
  <c r="L259" i="2"/>
  <c r="L260" i="2"/>
  <c r="L273" i="2"/>
  <c r="R274" i="2"/>
  <c r="R256" i="2"/>
  <c r="F274" i="2"/>
  <c r="G274" i="2"/>
  <c r="R273" i="2"/>
  <c r="R272" i="2"/>
  <c r="R271" i="2"/>
  <c r="L274" i="2"/>
  <c r="R270" i="2"/>
  <c r="G270" i="2"/>
  <c r="R269" i="2"/>
  <c r="G269" i="2"/>
  <c r="R268" i="2"/>
  <c r="G268" i="2"/>
  <c r="R267" i="2"/>
  <c r="R266" i="2"/>
  <c r="R265" i="2"/>
  <c r="R264" i="2"/>
  <c r="R263" i="2"/>
  <c r="R262" i="2"/>
  <c r="R261" i="2"/>
  <c r="R260" i="2"/>
  <c r="G260" i="2"/>
  <c r="R259" i="2"/>
  <c r="R258" i="2"/>
  <c r="F258" i="2"/>
  <c r="R257" i="2"/>
  <c r="L269" i="2"/>
  <c r="L268" i="2"/>
  <c r="L267" i="2"/>
  <c r="L266" i="2"/>
  <c r="L265" i="2"/>
  <c r="S8" i="2"/>
  <c r="R8" i="2"/>
  <c r="S7" i="2"/>
  <c r="R7" i="2"/>
  <c r="S6" i="2"/>
  <c r="R6" i="2"/>
  <c r="S5" i="2"/>
  <c r="R5" i="2"/>
  <c r="S4" i="2"/>
  <c r="R4" i="2"/>
  <c r="G8" i="2"/>
  <c r="G7" i="2"/>
  <c r="L14" i="2"/>
  <c r="L12" i="2"/>
  <c r="L63" i="2"/>
  <c r="L60" i="2"/>
  <c r="L58" i="2"/>
  <c r="L56" i="2"/>
  <c r="L54" i="2"/>
  <c r="L46" i="2"/>
  <c r="L45" i="2"/>
  <c r="L44" i="2"/>
  <c r="L42" i="2"/>
  <c r="L40" i="2"/>
  <c r="L39" i="2"/>
  <c r="L37" i="2"/>
  <c r="L33" i="2"/>
  <c r="L32" i="2"/>
  <c r="L31" i="2"/>
  <c r="L29" i="2"/>
  <c r="L26" i="2"/>
  <c r="L25" i="2"/>
  <c r="L22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G49" i="2"/>
  <c r="G33" i="2"/>
  <c r="F24" i="2"/>
  <c r="F12" i="2"/>
  <c r="G56" i="2"/>
  <c r="F42" i="2"/>
  <c r="L61" i="2"/>
  <c r="L43" i="2"/>
  <c r="L59" i="2"/>
  <c r="L11" i="2"/>
  <c r="G12" i="2"/>
  <c r="L272" i="2"/>
  <c r="L279" i="2"/>
  <c r="L311" i="2"/>
  <c r="L285" i="2"/>
  <c r="F280" i="2"/>
  <c r="G308" i="2"/>
  <c r="F286" i="2"/>
  <c r="G286" i="2"/>
  <c r="F308" i="2"/>
  <c r="F260" i="2"/>
  <c r="F263" i="2"/>
  <c r="G263" i="2"/>
  <c r="G313" i="2"/>
  <c r="G295" i="2"/>
  <c r="G276" i="2"/>
  <c r="F313" i="2"/>
  <c r="F298" i="2"/>
  <c r="G298" i="2"/>
  <c r="F295" i="2"/>
  <c r="F276" i="2"/>
  <c r="G259" i="2"/>
  <c r="F283" i="2"/>
  <c r="F292" i="2"/>
  <c r="F259" i="2"/>
  <c r="G310" i="2"/>
  <c r="F310" i="2"/>
  <c r="F269" i="2"/>
  <c r="F265" i="2"/>
  <c r="G265" i="2"/>
  <c r="F287" i="2"/>
  <c r="F268" i="2"/>
  <c r="F264" i="2"/>
  <c r="G281" i="2"/>
  <c r="G307" i="2"/>
  <c r="F281" i="2"/>
  <c r="G279" i="2"/>
  <c r="F290" i="2"/>
  <c r="G292" i="2"/>
  <c r="G305" i="2"/>
  <c r="F282" i="2"/>
  <c r="G287" i="2"/>
  <c r="F278" i="2"/>
  <c r="G278" i="2"/>
  <c r="G258" i="2"/>
  <c r="G300" i="2"/>
  <c r="G312" i="2"/>
  <c r="F300" i="2"/>
  <c r="F284" i="2"/>
  <c r="G311" i="2"/>
  <c r="G302" i="2"/>
  <c r="F270" i="2"/>
  <c r="G291" i="2"/>
  <c r="F256" i="2"/>
  <c r="G256" i="2"/>
  <c r="F297" i="2"/>
  <c r="F312" i="2"/>
  <c r="G306" i="2"/>
  <c r="G290" i="2"/>
  <c r="G284" i="2"/>
  <c r="F307" i="2"/>
  <c r="F272" i="2"/>
  <c r="F288" i="2"/>
  <c r="F271" i="2"/>
  <c r="F261" i="2"/>
  <c r="G261" i="2"/>
  <c r="F302" i="2"/>
  <c r="F291" i="2"/>
  <c r="G296" i="2"/>
  <c r="F293" i="2"/>
  <c r="F304" i="2"/>
  <c r="F289" i="2"/>
  <c r="G289" i="2"/>
  <c r="G282" i="2"/>
  <c r="G280" i="2"/>
  <c r="G275" i="2"/>
  <c r="G273" i="2"/>
  <c r="F277" i="2"/>
  <c r="F275" i="2"/>
  <c r="F273" i="2"/>
  <c r="G288" i="2"/>
  <c r="F303" i="2"/>
  <c r="G301" i="2"/>
  <c r="F301" i="2"/>
  <c r="G264" i="2"/>
  <c r="F309" i="2"/>
  <c r="F305" i="2"/>
  <c r="F279" i="2"/>
  <c r="F266" i="2"/>
  <c r="G294" i="2"/>
  <c r="F257" i="2"/>
  <c r="G257" i="2"/>
  <c r="G266" i="2"/>
  <c r="G303" i="2"/>
  <c r="G271" i="2"/>
  <c r="G262" i="2"/>
  <c r="G299" i="2"/>
  <c r="F294" i="2"/>
  <c r="G267" i="2"/>
  <c r="F262" i="2"/>
  <c r="G272" i="2"/>
  <c r="F267" i="2"/>
  <c r="G304" i="2"/>
  <c r="F299" i="2"/>
  <c r="G309" i="2"/>
  <c r="G277" i="2"/>
  <c r="G15" i="2"/>
  <c r="F15" i="2"/>
  <c r="G47" i="2"/>
  <c r="F47" i="2"/>
  <c r="G54" i="2"/>
  <c r="F58" i="2"/>
  <c r="F21" i="2"/>
  <c r="G58" i="2"/>
  <c r="G13" i="2"/>
  <c r="F26" i="2"/>
  <c r="G61" i="2"/>
  <c r="G26" i="2"/>
  <c r="F53" i="2"/>
  <c r="F56" i="2"/>
  <c r="F37" i="2"/>
  <c r="F55" i="2"/>
  <c r="F39" i="2"/>
  <c r="G42" i="2"/>
  <c r="F16" i="2"/>
  <c r="F51" i="2"/>
  <c r="F45" i="2"/>
  <c r="F17" i="2"/>
  <c r="F41" i="2"/>
  <c r="F23" i="2"/>
  <c r="G23" i="2"/>
  <c r="G39" i="2"/>
  <c r="G24" i="2"/>
  <c r="F40" i="2"/>
  <c r="G40" i="2"/>
  <c r="F19" i="2"/>
  <c r="F35" i="2"/>
  <c r="G14" i="2"/>
  <c r="F14" i="2"/>
  <c r="G17" i="2"/>
  <c r="G46" i="2"/>
  <c r="F46" i="2"/>
  <c r="G63" i="2"/>
  <c r="F63" i="2"/>
  <c r="G5" i="2"/>
  <c r="G29" i="2"/>
  <c r="G45" i="2"/>
  <c r="G19" i="2"/>
  <c r="G32" i="2"/>
  <c r="F22" i="2"/>
  <c r="F54" i="2"/>
  <c r="G30" i="2"/>
  <c r="F30" i="2"/>
  <c r="F60" i="2"/>
  <c r="G31" i="2"/>
  <c r="F31" i="2"/>
  <c r="G44" i="2"/>
  <c r="F32" i="2"/>
  <c r="F48" i="2"/>
  <c r="G48" i="2"/>
  <c r="G35" i="2"/>
  <c r="G62" i="2"/>
  <c r="F62" i="2"/>
  <c r="F7" i="2"/>
  <c r="F33" i="2"/>
  <c r="F49" i="2"/>
  <c r="G60" i="2"/>
  <c r="F28" i="2"/>
  <c r="F5" i="2"/>
  <c r="F10" i="2"/>
  <c r="G16" i="2"/>
  <c r="G51" i="2"/>
  <c r="F38" i="2"/>
  <c r="F9" i="2"/>
  <c r="G55" i="2"/>
  <c r="G28" i="2"/>
  <c r="F44" i="2"/>
  <c r="G10" i="2"/>
  <c r="F8" i="2"/>
  <c r="F6" i="2"/>
  <c r="F50" i="2"/>
  <c r="F34" i="2"/>
  <c r="F57" i="2"/>
  <c r="G57" i="2"/>
  <c r="F18" i="2"/>
  <c r="G9" i="2"/>
  <c r="G41" i="2"/>
  <c r="G25" i="2"/>
  <c r="G53" i="2"/>
  <c r="G37" i="2"/>
  <c r="G21" i="2"/>
  <c r="F25" i="2"/>
  <c r="G43" i="2"/>
  <c r="G59" i="2"/>
  <c r="G36" i="2"/>
  <c r="F13" i="2"/>
  <c r="F29" i="2"/>
  <c r="F61" i="2"/>
  <c r="G27" i="2"/>
  <c r="G4" i="2"/>
  <c r="G20" i="2"/>
  <c r="G52" i="2"/>
  <c r="G18" i="2"/>
  <c r="G50" i="2"/>
  <c r="F4" i="2"/>
  <c r="F20" i="2"/>
  <c r="F36" i="2"/>
  <c r="F52" i="2"/>
  <c r="F43" i="2"/>
  <c r="F27" i="2"/>
  <c r="G6" i="2"/>
  <c r="G34" i="2"/>
  <c r="F11" i="2"/>
  <c r="F59" i="2"/>
  <c r="G11" i="2"/>
  <c r="G22" i="2"/>
  <c r="G38" i="2"/>
  <c r="K315" i="2" l="1"/>
  <c r="I315" i="2" s="1"/>
  <c r="J315" i="2" s="1"/>
  <c r="E315" i="2"/>
  <c r="K314" i="2"/>
  <c r="I314" i="2" s="1"/>
  <c r="J314" i="2" s="1"/>
  <c r="E48" i="2"/>
  <c r="E314" i="2"/>
  <c r="E311" i="2"/>
  <c r="E265" i="2"/>
  <c r="K61" i="2"/>
  <c r="I61" i="2" s="1"/>
  <c r="J61" i="2" s="1"/>
  <c r="E256" i="2"/>
  <c r="E312" i="2"/>
  <c r="E285" i="2"/>
  <c r="Q35" i="2"/>
  <c r="K63" i="2"/>
  <c r="I63" i="2" s="1"/>
  <c r="J63" i="2" s="1"/>
  <c r="K60" i="2"/>
  <c r="I60" i="2" s="1"/>
  <c r="J60" i="2" s="1"/>
  <c r="E263" i="2"/>
  <c r="E293" i="2"/>
  <c r="E298" i="2"/>
  <c r="E310" i="2"/>
  <c r="E301" i="2"/>
  <c r="K57" i="2"/>
  <c r="I57" i="2" s="1"/>
  <c r="J57" i="2" s="1"/>
  <c r="E297" i="2"/>
  <c r="E283" i="2"/>
  <c r="K58" i="2"/>
  <c r="I58" i="2" s="1"/>
  <c r="J58" i="2" s="1"/>
  <c r="K59" i="2"/>
  <c r="I59" i="2" s="1"/>
  <c r="J59" i="2" s="1"/>
  <c r="K51" i="2"/>
  <c r="I51" i="2" s="1"/>
  <c r="J51" i="2" s="1"/>
  <c r="E33" i="2"/>
  <c r="K56" i="2"/>
  <c r="I56" i="2" s="1"/>
  <c r="J56" i="2" s="1"/>
  <c r="E42" i="2"/>
  <c r="Q49" i="2"/>
  <c r="Q50" i="2"/>
  <c r="E56" i="2"/>
  <c r="E38" i="2"/>
  <c r="E271" i="2"/>
  <c r="K308" i="2"/>
  <c r="I308" i="2" s="1"/>
  <c r="J308" i="2" s="1"/>
  <c r="E303" i="2"/>
  <c r="E294" i="2"/>
  <c r="E296" i="2"/>
  <c r="E306" i="2"/>
  <c r="E309" i="2"/>
  <c r="E261" i="2"/>
  <c r="Q59" i="2"/>
  <c r="E49" i="2"/>
  <c r="K48" i="2"/>
  <c r="I48" i="2" s="1"/>
  <c r="J48" i="2" s="1"/>
  <c r="K55" i="2"/>
  <c r="I55" i="2" s="1"/>
  <c r="J55" i="2" s="1"/>
  <c r="K50" i="2"/>
  <c r="I50" i="2" s="1"/>
  <c r="J50" i="2" s="1"/>
  <c r="K42" i="2"/>
  <c r="I42" i="2" s="1"/>
  <c r="J42" i="2" s="1"/>
  <c r="K32" i="2"/>
  <c r="I32" i="2" s="1"/>
  <c r="J32" i="2" s="1"/>
  <c r="K41" i="2"/>
  <c r="I41" i="2" s="1"/>
  <c r="J41" i="2" s="1"/>
  <c r="K43" i="2"/>
  <c r="I43" i="2" s="1"/>
  <c r="J43" i="2" s="1"/>
  <c r="K44" i="2"/>
  <c r="I44" i="2" s="1"/>
  <c r="J44" i="2" s="1"/>
  <c r="K45" i="2"/>
  <c r="I45" i="2" s="1"/>
  <c r="J45" i="2" s="1"/>
  <c r="K49" i="2"/>
  <c r="I49" i="2" s="1"/>
  <c r="J49" i="2" s="1"/>
  <c r="Q34" i="2"/>
  <c r="Q33" i="2"/>
  <c r="E266" i="2"/>
  <c r="E282" i="2"/>
  <c r="E290" i="2"/>
  <c r="E289" i="2"/>
  <c r="E274" i="2"/>
  <c r="E270" i="2"/>
  <c r="E286" i="2"/>
  <c r="K259" i="2"/>
  <c r="I259" i="2" s="1"/>
  <c r="J259" i="2" s="1"/>
  <c r="E277" i="2"/>
  <c r="K39" i="2"/>
  <c r="I39" i="2" s="1"/>
  <c r="J39" i="2" s="1"/>
  <c r="K27" i="2"/>
  <c r="I27" i="2" s="1"/>
  <c r="J27" i="2" s="1"/>
  <c r="K26" i="2"/>
  <c r="I26" i="2" s="1"/>
  <c r="J26" i="2" s="1"/>
  <c r="K25" i="2"/>
  <c r="I25" i="2" s="1"/>
  <c r="J25" i="2" s="1"/>
  <c r="E8" i="2"/>
  <c r="K33" i="2"/>
  <c r="I33" i="2" s="1"/>
  <c r="J33" i="2" s="1"/>
  <c r="E24" i="2"/>
  <c r="K35" i="2"/>
  <c r="I35" i="2" s="1"/>
  <c r="J35" i="2" s="1"/>
  <c r="E37" i="2"/>
  <c r="K38" i="2"/>
  <c r="I38" i="2" s="1"/>
  <c r="J38" i="2" s="1"/>
  <c r="K34" i="2"/>
  <c r="I34" i="2" s="1"/>
  <c r="J34" i="2" s="1"/>
  <c r="E257" i="2"/>
  <c r="K28" i="2"/>
  <c r="I28" i="2" s="1"/>
  <c r="J28" i="2" s="1"/>
  <c r="K29" i="2"/>
  <c r="I29" i="2" s="1"/>
  <c r="J29" i="2" s="1"/>
  <c r="K31" i="2"/>
  <c r="I31" i="2" s="1"/>
  <c r="J31" i="2" s="1"/>
  <c r="E7" i="2"/>
  <c r="E12" i="2"/>
  <c r="K5" i="2"/>
  <c r="I5" i="2" s="1"/>
  <c r="J5" i="2" s="1"/>
  <c r="K16" i="2"/>
  <c r="I16" i="2" s="1"/>
  <c r="J16" i="2" s="1"/>
  <c r="E268" i="2"/>
  <c r="E269" i="2"/>
  <c r="E260" i="2"/>
  <c r="E258" i="2"/>
  <c r="E264" i="2"/>
  <c r="Q17" i="2"/>
  <c r="Q18" i="2"/>
  <c r="E11" i="2"/>
  <c r="E9" i="2"/>
  <c r="K18" i="2"/>
  <c r="I18" i="2" s="1"/>
  <c r="J18" i="2" s="1"/>
  <c r="E23" i="2"/>
  <c r="K15" i="2"/>
  <c r="I15" i="2" s="1"/>
  <c r="J15" i="2" s="1"/>
  <c r="K8" i="2"/>
  <c r="I8" i="2" s="1"/>
  <c r="J8" i="2" s="1"/>
  <c r="K17" i="2"/>
  <c r="I17" i="2" s="1"/>
  <c r="J17" i="2" s="1"/>
  <c r="E22" i="2"/>
  <c r="K9" i="2"/>
  <c r="I9" i="2" s="1"/>
  <c r="J9" i="2" s="1"/>
  <c r="K13" i="2"/>
  <c r="I13" i="2" s="1"/>
  <c r="J13" i="2" s="1"/>
  <c r="K4" i="2"/>
  <c r="I4" i="2" s="1"/>
  <c r="J4" i="2" s="1"/>
  <c r="K12" i="2"/>
  <c r="I12" i="2" s="1"/>
  <c r="J12" i="2" s="1"/>
  <c r="K7" i="2"/>
  <c r="I7" i="2" s="1"/>
  <c r="J7" i="2" s="1"/>
  <c r="K11" i="2"/>
  <c r="I11" i="2" s="1"/>
  <c r="J11" i="2" s="1"/>
  <c r="E21" i="2"/>
  <c r="K23" i="2"/>
  <c r="I23" i="2" s="1"/>
  <c r="J23" i="2" s="1"/>
  <c r="K6" i="2"/>
  <c r="I6" i="2" s="1"/>
  <c r="J6" i="2" s="1"/>
  <c r="E262" i="2"/>
  <c r="E259" i="2"/>
  <c r="Q4" i="2"/>
  <c r="Q5" i="2"/>
  <c r="Q6" i="2"/>
  <c r="Q7" i="2"/>
  <c r="Q8" i="2"/>
  <c r="K46" i="2"/>
  <c r="I46" i="2" s="1"/>
  <c r="J46" i="2" s="1"/>
  <c r="Q9" i="2"/>
  <c r="Q10" i="2"/>
  <c r="Q11" i="2"/>
  <c r="Q12" i="2"/>
  <c r="Q13" i="2"/>
  <c r="Q14" i="2"/>
  <c r="Q15" i="2"/>
  <c r="Q16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51" i="2"/>
  <c r="Q52" i="2"/>
  <c r="Q53" i="2"/>
  <c r="Q54" i="2"/>
  <c r="Q55" i="2"/>
  <c r="Q56" i="2"/>
  <c r="Q57" i="2"/>
  <c r="Q58" i="2"/>
  <c r="Q60" i="2"/>
  <c r="Q61" i="2"/>
  <c r="Q62" i="2"/>
  <c r="Q63" i="2"/>
  <c r="K21" i="2"/>
  <c r="I21" i="2" s="1"/>
  <c r="J21" i="2" s="1"/>
  <c r="K53" i="2"/>
  <c r="I53" i="2" s="1"/>
  <c r="J53" i="2" s="1"/>
  <c r="K10" i="2"/>
  <c r="I10" i="2" s="1"/>
  <c r="J10" i="2" s="1"/>
  <c r="K40" i="2"/>
  <c r="I40" i="2" s="1"/>
  <c r="J40" i="2" s="1"/>
  <c r="K20" i="2"/>
  <c r="I20" i="2" s="1"/>
  <c r="J20" i="2" s="1"/>
  <c r="K62" i="2"/>
  <c r="I62" i="2" s="1"/>
  <c r="J62" i="2" s="1"/>
  <c r="K19" i="2"/>
  <c r="I19" i="2" s="1"/>
  <c r="J19" i="2" s="1"/>
  <c r="K54" i="2"/>
  <c r="I54" i="2" s="1"/>
  <c r="J54" i="2" s="1"/>
  <c r="K24" i="2"/>
  <c r="I24" i="2" s="1"/>
  <c r="J24" i="2" s="1"/>
  <c r="K22" i="2"/>
  <c r="I22" i="2" s="1"/>
  <c r="J22" i="2" s="1"/>
  <c r="K47" i="2"/>
  <c r="I47" i="2" s="1"/>
  <c r="J47" i="2" s="1"/>
  <c r="K37" i="2"/>
  <c r="I37" i="2" s="1"/>
  <c r="J37" i="2" s="1"/>
  <c r="K30" i="2"/>
  <c r="I30" i="2" s="1"/>
  <c r="J30" i="2" s="1"/>
  <c r="K52" i="2"/>
  <c r="I52" i="2" s="1"/>
  <c r="J52" i="2" s="1"/>
  <c r="K14" i="2"/>
  <c r="I14" i="2" s="1"/>
  <c r="J14" i="2" s="1"/>
  <c r="K36" i="2"/>
  <c r="I36" i="2" s="1"/>
  <c r="J36" i="2" s="1"/>
  <c r="E6" i="2"/>
  <c r="E26" i="2"/>
  <c r="E61" i="2"/>
  <c r="E4" i="2"/>
  <c r="E47" i="2"/>
  <c r="E14" i="2"/>
  <c r="E13" i="2"/>
  <c r="E50" i="2"/>
  <c r="E34" i="2"/>
  <c r="E39" i="2"/>
  <c r="E18" i="2"/>
  <c r="E52" i="2"/>
  <c r="E32" i="2"/>
  <c r="E35" i="2"/>
  <c r="E20" i="2"/>
  <c r="E19" i="2"/>
  <c r="E16" i="2"/>
  <c r="E54" i="2"/>
  <c r="E55" i="2"/>
  <c r="E45" i="2"/>
  <c r="E57" i="2"/>
  <c r="E5" i="2"/>
  <c r="E29" i="2"/>
  <c r="E51" i="2"/>
  <c r="K268" i="2"/>
  <c r="I268" i="2" s="1"/>
  <c r="J268" i="2" s="1"/>
  <c r="K301" i="2"/>
  <c r="I301" i="2" s="1"/>
  <c r="J301" i="2" s="1"/>
  <c r="K285" i="2"/>
  <c r="I285" i="2" s="1"/>
  <c r="J285" i="2" s="1"/>
  <c r="K289" i="2"/>
  <c r="I289" i="2" s="1"/>
  <c r="J289" i="2" s="1"/>
  <c r="K274" i="2"/>
  <c r="I274" i="2" s="1"/>
  <c r="J274" i="2" s="1"/>
  <c r="K302" i="2"/>
  <c r="I302" i="2" s="1"/>
  <c r="J302" i="2" s="1"/>
  <c r="K287" i="2"/>
  <c r="I287" i="2" s="1"/>
  <c r="J287" i="2" s="1"/>
  <c r="K293" i="2"/>
  <c r="I293" i="2" s="1"/>
  <c r="J293" i="2" s="1"/>
  <c r="K265" i="2"/>
  <c r="I265" i="2" s="1"/>
  <c r="J265" i="2" s="1"/>
  <c r="K267" i="2"/>
  <c r="I267" i="2" s="1"/>
  <c r="J267" i="2" s="1"/>
  <c r="K273" i="2"/>
  <c r="I273" i="2" s="1"/>
  <c r="J273" i="2" s="1"/>
  <c r="K256" i="2"/>
  <c r="I256" i="2" s="1"/>
  <c r="J256" i="2" s="1"/>
  <c r="K269" i="2"/>
  <c r="I269" i="2" s="1"/>
  <c r="J269" i="2" s="1"/>
  <c r="K295" i="2"/>
  <c r="I295" i="2" s="1"/>
  <c r="J295" i="2" s="1"/>
  <c r="K305" i="2"/>
  <c r="I305" i="2" s="1"/>
  <c r="J305" i="2" s="1"/>
  <c r="K292" i="2"/>
  <c r="I292" i="2" s="1"/>
  <c r="J292" i="2" s="1"/>
  <c r="K257" i="2"/>
  <c r="I257" i="2" s="1"/>
  <c r="J257" i="2" s="1"/>
  <c r="K286" i="2"/>
  <c r="I286" i="2" s="1"/>
  <c r="J286" i="2" s="1"/>
  <c r="K283" i="2"/>
  <c r="I283" i="2" s="1"/>
  <c r="J283" i="2" s="1"/>
  <c r="K307" i="2"/>
  <c r="I307" i="2" s="1"/>
  <c r="J307" i="2" s="1"/>
  <c r="K266" i="2"/>
  <c r="I266" i="2" s="1"/>
  <c r="J266" i="2" s="1"/>
  <c r="K261" i="2"/>
  <c r="I261" i="2" s="1"/>
  <c r="J261" i="2" s="1"/>
  <c r="K306" i="2"/>
  <c r="I306" i="2" s="1"/>
  <c r="J306" i="2" s="1"/>
  <c r="K262" i="2"/>
  <c r="I262" i="2" s="1"/>
  <c r="J262" i="2" s="1"/>
  <c r="K276" i="2"/>
  <c r="I276" i="2" s="1"/>
  <c r="J276" i="2" s="1"/>
  <c r="K299" i="2"/>
  <c r="I299" i="2" s="1"/>
  <c r="J299" i="2" s="1"/>
  <c r="K300" i="2"/>
  <c r="I300" i="2" s="1"/>
  <c r="J300" i="2" s="1"/>
  <c r="K280" i="2"/>
  <c r="I280" i="2" s="1"/>
  <c r="J280" i="2" s="1"/>
  <c r="K263" i="2"/>
  <c r="I263" i="2" s="1"/>
  <c r="J263" i="2" s="1"/>
  <c r="K277" i="2"/>
  <c r="I277" i="2" s="1"/>
  <c r="J277" i="2" s="1"/>
  <c r="K264" i="2"/>
  <c r="I264" i="2" s="1"/>
  <c r="J264" i="2" s="1"/>
  <c r="K271" i="2"/>
  <c r="I271" i="2" s="1"/>
  <c r="J271" i="2" s="1"/>
  <c r="K288" i="2"/>
  <c r="I288" i="2" s="1"/>
  <c r="J288" i="2" s="1"/>
  <c r="K303" i="2"/>
  <c r="I303" i="2" s="1"/>
  <c r="J303" i="2" s="1"/>
  <c r="K297" i="2"/>
  <c r="I297" i="2" s="1"/>
  <c r="J297" i="2" s="1"/>
  <c r="K258" i="2"/>
  <c r="I258" i="2" s="1"/>
  <c r="J258" i="2" s="1"/>
  <c r="K304" i="2"/>
  <c r="I304" i="2" s="1"/>
  <c r="J304" i="2" s="1"/>
  <c r="K281" i="2"/>
  <c r="I281" i="2" s="1"/>
  <c r="J281" i="2" s="1"/>
  <c r="K296" i="2"/>
  <c r="I296" i="2" s="1"/>
  <c r="J296" i="2" s="1"/>
  <c r="K275" i="2"/>
  <c r="I275" i="2" s="1"/>
  <c r="J275" i="2" s="1"/>
  <c r="K272" i="2"/>
  <c r="I272" i="2" s="1"/>
  <c r="J272" i="2" s="1"/>
  <c r="K278" i="2"/>
  <c r="I278" i="2" s="1"/>
  <c r="J278" i="2" s="1"/>
  <c r="K260" i="2"/>
  <c r="I260" i="2" s="1"/>
  <c r="J260" i="2" s="1"/>
  <c r="K298" i="2"/>
  <c r="I298" i="2" s="1"/>
  <c r="J298" i="2" s="1"/>
  <c r="K313" i="2"/>
  <c r="I313" i="2" s="1"/>
  <c r="J313" i="2" s="1"/>
  <c r="K291" i="2"/>
  <c r="I291" i="2" s="1"/>
  <c r="J291" i="2" s="1"/>
  <c r="K309" i="2"/>
  <c r="I309" i="2" s="1"/>
  <c r="J309" i="2" s="1"/>
  <c r="K311" i="2"/>
  <c r="I311" i="2" s="1"/>
  <c r="J311" i="2" s="1"/>
  <c r="K279" i="2"/>
  <c r="I279" i="2" s="1"/>
  <c r="J279" i="2" s="1"/>
  <c r="K294" i="2"/>
  <c r="I294" i="2" s="1"/>
  <c r="J294" i="2" s="1"/>
  <c r="K312" i="2"/>
  <c r="I312" i="2" s="1"/>
  <c r="J312" i="2" s="1"/>
  <c r="K284" i="2"/>
  <c r="I284" i="2" s="1"/>
  <c r="J284" i="2" s="1"/>
  <c r="K290" i="2"/>
  <c r="I290" i="2" s="1"/>
  <c r="J290" i="2" s="1"/>
  <c r="K270" i="2"/>
  <c r="I270" i="2" s="1"/>
  <c r="J270" i="2" s="1"/>
  <c r="K310" i="2"/>
  <c r="I310" i="2" s="1"/>
  <c r="J310" i="2" s="1"/>
  <c r="K282" i="2"/>
  <c r="I282" i="2" s="1"/>
  <c r="J282" i="2" s="1"/>
  <c r="E284" i="2"/>
  <c r="E278" i="2"/>
  <c r="E287" i="2"/>
  <c r="E295" i="2"/>
  <c r="E308" i="2"/>
  <c r="E267" i="2"/>
  <c r="E276" i="2"/>
  <c r="D315" i="2" s="1"/>
  <c r="B315" i="2" s="1"/>
  <c r="C315" i="2" s="1"/>
  <c r="E304" i="2"/>
  <c r="E313" i="2"/>
  <c r="E272" i="2"/>
  <c r="E275" i="2"/>
  <c r="E292" i="2"/>
  <c r="E307" i="2"/>
  <c r="E273" i="2"/>
  <c r="E305" i="2"/>
  <c r="E291" i="2"/>
  <c r="E281" i="2"/>
  <c r="E288" i="2"/>
  <c r="E279" i="2"/>
  <c r="E300" i="2"/>
  <c r="E299" i="2"/>
  <c r="E302" i="2"/>
  <c r="E280" i="2"/>
  <c r="E30" i="2"/>
  <c r="E58" i="2"/>
  <c r="E25" i="2"/>
  <c r="E53" i="2"/>
  <c r="E31" i="2"/>
  <c r="E10" i="2"/>
  <c r="E28" i="2"/>
  <c r="E17" i="2"/>
  <c r="E36" i="2"/>
  <c r="E15" i="2"/>
  <c r="E60" i="2"/>
  <c r="E27" i="2"/>
  <c r="E62" i="2"/>
  <c r="E59" i="2"/>
  <c r="E46" i="2"/>
  <c r="E43" i="2"/>
  <c r="E44" i="2"/>
  <c r="E41" i="2"/>
  <c r="E63" i="2"/>
  <c r="E40" i="2"/>
  <c r="D61" i="2" l="1"/>
  <c r="B61" i="2" s="1"/>
  <c r="C61" i="2" s="1"/>
  <c r="D314" i="2"/>
  <c r="B314" i="2" s="1"/>
  <c r="C314" i="2" s="1"/>
  <c r="D312" i="2"/>
  <c r="B312" i="2" s="1"/>
  <c r="C312" i="2" s="1"/>
  <c r="P33" i="2"/>
  <c r="O33" i="2" s="1"/>
  <c r="P62" i="2"/>
  <c r="O62" i="2" s="1"/>
  <c r="P63" i="2"/>
  <c r="O63" i="2" s="1"/>
  <c r="P60" i="2"/>
  <c r="O60" i="2" s="1"/>
  <c r="P49" i="2"/>
  <c r="O49" i="2" s="1"/>
  <c r="P50" i="2"/>
  <c r="O50" i="2" s="1"/>
  <c r="P58" i="2"/>
  <c r="O58" i="2" s="1"/>
  <c r="D32" i="2"/>
  <c r="B32" i="2" s="1"/>
  <c r="C32" i="2" s="1"/>
  <c r="P52" i="2"/>
  <c r="O52" i="2" s="1"/>
  <c r="D308" i="2"/>
  <c r="B308" i="2" s="1"/>
  <c r="C308" i="2" s="1"/>
  <c r="D295" i="2"/>
  <c r="B295" i="2" s="1"/>
  <c r="C295" i="2" s="1"/>
  <c r="D303" i="2"/>
  <c r="B303" i="2" s="1"/>
  <c r="C303" i="2" s="1"/>
  <c r="P54" i="2"/>
  <c r="O54" i="2" s="1"/>
  <c r="P41" i="2"/>
  <c r="O41" i="2" s="1"/>
  <c r="P34" i="2"/>
  <c r="O34" i="2" s="1"/>
  <c r="P40" i="2"/>
  <c r="O40" i="2" s="1"/>
  <c r="D297" i="2"/>
  <c r="B297" i="2" s="1"/>
  <c r="C297" i="2" s="1"/>
  <c r="P6" i="2"/>
  <c r="O6" i="2" s="1"/>
  <c r="P48" i="2"/>
  <c r="O48" i="2" s="1"/>
  <c r="P39" i="2"/>
  <c r="O39" i="2" s="1"/>
  <c r="D259" i="2"/>
  <c r="B259" i="2" s="1"/>
  <c r="C259" i="2" s="1"/>
  <c r="D256" i="2"/>
  <c r="B256" i="2" s="1"/>
  <c r="C256" i="2" s="1"/>
  <c r="D287" i="2"/>
  <c r="B287" i="2" s="1"/>
  <c r="C287" i="2" s="1"/>
  <c r="D283" i="2"/>
  <c r="B283" i="2" s="1"/>
  <c r="C283" i="2" s="1"/>
  <c r="P17" i="2"/>
  <c r="O17" i="2" s="1"/>
  <c r="P38" i="2"/>
  <c r="O38" i="2" s="1"/>
  <c r="D280" i="2"/>
  <c r="B280" i="2" s="1"/>
  <c r="C280" i="2" s="1"/>
  <c r="D273" i="2"/>
  <c r="B273" i="2" s="1"/>
  <c r="C273" i="2" s="1"/>
  <c r="P31" i="2"/>
  <c r="O31" i="2" s="1"/>
  <c r="P13" i="2"/>
  <c r="O13" i="2" s="1"/>
  <c r="D16" i="2"/>
  <c r="B16" i="2" s="1"/>
  <c r="C16" i="2" s="1"/>
  <c r="D20" i="2"/>
  <c r="B20" i="2" s="1"/>
  <c r="C20" i="2" s="1"/>
  <c r="D19" i="2"/>
  <c r="B19" i="2" s="1"/>
  <c r="C19" i="2" s="1"/>
  <c r="D22" i="2"/>
  <c r="B22" i="2" s="1"/>
  <c r="C22" i="2" s="1"/>
  <c r="D23" i="2"/>
  <c r="B23" i="2" s="1"/>
  <c r="C23" i="2" s="1"/>
  <c r="D271" i="2"/>
  <c r="B271" i="2" s="1"/>
  <c r="C271" i="2" s="1"/>
  <c r="D274" i="2"/>
  <c r="B274" i="2" s="1"/>
  <c r="C274" i="2" s="1"/>
  <c r="D267" i="2"/>
  <c r="B267" i="2" s="1"/>
  <c r="C267" i="2" s="1"/>
  <c r="D269" i="2"/>
  <c r="B269" i="2" s="1"/>
  <c r="C269" i="2" s="1"/>
  <c r="D262" i="2"/>
  <c r="B262" i="2" s="1"/>
  <c r="C262" i="2" s="1"/>
  <c r="D261" i="2"/>
  <c r="B261" i="2" s="1"/>
  <c r="C261" i="2" s="1"/>
  <c r="D264" i="2"/>
  <c r="B264" i="2" s="1"/>
  <c r="C264" i="2" s="1"/>
  <c r="D268" i="2"/>
  <c r="B268" i="2" s="1"/>
  <c r="C268" i="2" s="1"/>
  <c r="D260" i="2"/>
  <c r="B260" i="2" s="1"/>
  <c r="C260" i="2" s="1"/>
  <c r="D265" i="2"/>
  <c r="B265" i="2" s="1"/>
  <c r="C265" i="2" s="1"/>
  <c r="D258" i="2"/>
  <c r="B258" i="2" s="1"/>
  <c r="C258" i="2" s="1"/>
  <c r="D270" i="2"/>
  <c r="B270" i="2" s="1"/>
  <c r="C270" i="2" s="1"/>
  <c r="D266" i="2"/>
  <c r="B266" i="2" s="1"/>
  <c r="C266" i="2" s="1"/>
  <c r="D257" i="2"/>
  <c r="B257" i="2" s="1"/>
  <c r="C257" i="2" s="1"/>
  <c r="P8" i="2"/>
  <c r="O8" i="2" s="1"/>
  <c r="P7" i="2"/>
  <c r="O7" i="2" s="1"/>
  <c r="P5" i="2"/>
  <c r="O5" i="2" s="1"/>
  <c r="P4" i="2"/>
  <c r="O4" i="2" s="1"/>
  <c r="D46" i="2"/>
  <c r="B46" i="2" s="1"/>
  <c r="C46" i="2" s="1"/>
  <c r="D24" i="2"/>
  <c r="B24" i="2" s="1"/>
  <c r="C24" i="2" s="1"/>
  <c r="D36" i="2"/>
  <c r="B36" i="2" s="1"/>
  <c r="C36" i="2" s="1"/>
  <c r="D37" i="2"/>
  <c r="B37" i="2" s="1"/>
  <c r="C37" i="2" s="1"/>
  <c r="D14" i="2"/>
  <c r="B14" i="2" s="1"/>
  <c r="C14" i="2" s="1"/>
  <c r="D50" i="2"/>
  <c r="B50" i="2" s="1"/>
  <c r="C50" i="2" s="1"/>
  <c r="D39" i="2"/>
  <c r="B39" i="2" s="1"/>
  <c r="C39" i="2" s="1"/>
  <c r="D34" i="2"/>
  <c r="B34" i="2" s="1"/>
  <c r="C34" i="2" s="1"/>
  <c r="P29" i="2"/>
  <c r="O29" i="2" s="1"/>
  <c r="P61" i="2"/>
  <c r="O61" i="2" s="1"/>
  <c r="P57" i="2"/>
  <c r="O57" i="2" s="1"/>
  <c r="P56" i="2"/>
  <c r="O56" i="2" s="1"/>
  <c r="P55" i="2"/>
  <c r="O55" i="2" s="1"/>
  <c r="P53" i="2"/>
  <c r="O53" i="2" s="1"/>
  <c r="P51" i="2"/>
  <c r="O51" i="2" s="1"/>
  <c r="P47" i="2"/>
  <c r="O47" i="2" s="1"/>
  <c r="P46" i="2"/>
  <c r="O46" i="2" s="1"/>
  <c r="P45" i="2"/>
  <c r="O45" i="2" s="1"/>
  <c r="P44" i="2"/>
  <c r="O44" i="2" s="1"/>
  <c r="P43" i="2"/>
  <c r="O43" i="2" s="1"/>
  <c r="P42" i="2"/>
  <c r="O42" i="2" s="1"/>
  <c r="P37" i="2"/>
  <c r="O37" i="2" s="1"/>
  <c r="P36" i="2"/>
  <c r="O36" i="2" s="1"/>
  <c r="P32" i="2"/>
  <c r="O32" i="2" s="1"/>
  <c r="P18" i="2"/>
  <c r="O18" i="2" s="1"/>
  <c r="P30" i="2"/>
  <c r="O30" i="2" s="1"/>
  <c r="P28" i="2"/>
  <c r="O28" i="2" s="1"/>
  <c r="P27" i="2"/>
  <c r="O27" i="2" s="1"/>
  <c r="P26" i="2"/>
  <c r="O26" i="2" s="1"/>
  <c r="P25" i="2"/>
  <c r="O25" i="2" s="1"/>
  <c r="P35" i="2"/>
  <c r="O35" i="2" s="1"/>
  <c r="P24" i="2"/>
  <c r="O24" i="2" s="1"/>
  <c r="P23" i="2"/>
  <c r="O23" i="2" s="1"/>
  <c r="P59" i="2"/>
  <c r="O59" i="2" s="1"/>
  <c r="P22" i="2"/>
  <c r="O22" i="2" s="1"/>
  <c r="P21" i="2"/>
  <c r="O21" i="2" s="1"/>
  <c r="P20" i="2"/>
  <c r="O20" i="2" s="1"/>
  <c r="P14" i="2"/>
  <c r="O14" i="2" s="1"/>
  <c r="P19" i="2"/>
  <c r="O19" i="2" s="1"/>
  <c r="P16" i="2"/>
  <c r="O16" i="2" s="1"/>
  <c r="P15" i="2"/>
  <c r="O15" i="2" s="1"/>
  <c r="P12" i="2"/>
  <c r="O12" i="2" s="1"/>
  <c r="P11" i="2"/>
  <c r="O11" i="2" s="1"/>
  <c r="P10" i="2"/>
  <c r="O10" i="2" s="1"/>
  <c r="P9" i="2"/>
  <c r="O9" i="2" s="1"/>
  <c r="D15" i="2"/>
  <c r="B15" i="2" s="1"/>
  <c r="C15" i="2" s="1"/>
  <c r="D55" i="2"/>
  <c r="B55" i="2" s="1"/>
  <c r="C55" i="2" s="1"/>
  <c r="D52" i="2"/>
  <c r="B52" i="2" s="1"/>
  <c r="C52" i="2" s="1"/>
  <c r="D35" i="2"/>
  <c r="B35" i="2" s="1"/>
  <c r="C35" i="2" s="1"/>
  <c r="D21" i="2"/>
  <c r="B21" i="2" s="1"/>
  <c r="C21" i="2" s="1"/>
  <c r="D31" i="2"/>
  <c r="B31" i="2" s="1"/>
  <c r="C31" i="2" s="1"/>
  <c r="D18" i="2"/>
  <c r="B18" i="2" s="1"/>
  <c r="C18" i="2" s="1"/>
  <c r="D7" i="2"/>
  <c r="B7" i="2" s="1"/>
  <c r="C7" i="2" s="1"/>
  <c r="D9" i="2"/>
  <c r="B9" i="2" s="1"/>
  <c r="C9" i="2" s="1"/>
  <c r="D33" i="2"/>
  <c r="B33" i="2" s="1"/>
  <c r="C33" i="2" s="1"/>
  <c r="D26" i="2"/>
  <c r="B26" i="2" s="1"/>
  <c r="C26" i="2" s="1"/>
  <c r="D13" i="2"/>
  <c r="B13" i="2" s="1"/>
  <c r="C13" i="2" s="1"/>
  <c r="D53" i="2"/>
  <c r="B53" i="2" s="1"/>
  <c r="C53" i="2" s="1"/>
  <c r="D63" i="2"/>
  <c r="B63" i="2" s="1"/>
  <c r="C63" i="2" s="1"/>
  <c r="D11" i="2"/>
  <c r="B11" i="2" s="1"/>
  <c r="C11" i="2" s="1"/>
  <c r="D12" i="2"/>
  <c r="B12" i="2" s="1"/>
  <c r="C12" i="2" s="1"/>
  <c r="D5" i="2"/>
  <c r="B5" i="2" s="1"/>
  <c r="C5" i="2" s="1"/>
  <c r="D291" i="2"/>
  <c r="B291" i="2" s="1"/>
  <c r="C291" i="2" s="1"/>
  <c r="D309" i="2"/>
  <c r="B309" i="2" s="1"/>
  <c r="C309" i="2" s="1"/>
  <c r="D282" i="2"/>
  <c r="B282" i="2" s="1"/>
  <c r="C282" i="2" s="1"/>
  <c r="D301" i="2"/>
  <c r="B301" i="2" s="1"/>
  <c r="C301" i="2" s="1"/>
  <c r="D278" i="2"/>
  <c r="B278" i="2" s="1"/>
  <c r="C278" i="2" s="1"/>
  <c r="D286" i="2"/>
  <c r="B286" i="2" s="1"/>
  <c r="C286" i="2" s="1"/>
  <c r="D284" i="2"/>
  <c r="B284" i="2" s="1"/>
  <c r="C284" i="2" s="1"/>
  <c r="D281" i="2"/>
  <c r="B281" i="2" s="1"/>
  <c r="C281" i="2" s="1"/>
  <c r="D307" i="2"/>
  <c r="B307" i="2" s="1"/>
  <c r="C307" i="2" s="1"/>
  <c r="D272" i="2"/>
  <c r="B272" i="2" s="1"/>
  <c r="C272" i="2" s="1"/>
  <c r="D313" i="2"/>
  <c r="B313" i="2" s="1"/>
  <c r="C313" i="2" s="1"/>
  <c r="D299" i="2"/>
  <c r="B299" i="2" s="1"/>
  <c r="C299" i="2" s="1"/>
  <c r="D300" i="2"/>
  <c r="B300" i="2" s="1"/>
  <c r="C300" i="2" s="1"/>
  <c r="D279" i="2"/>
  <c r="B279" i="2" s="1"/>
  <c r="C279" i="2" s="1"/>
  <c r="D288" i="2"/>
  <c r="B288" i="2" s="1"/>
  <c r="C288" i="2" s="1"/>
  <c r="D294" i="2"/>
  <c r="B294" i="2" s="1"/>
  <c r="C294" i="2" s="1"/>
  <c r="D304" i="2"/>
  <c r="B304" i="2" s="1"/>
  <c r="C304" i="2" s="1"/>
  <c r="D298" i="2"/>
  <c r="B298" i="2" s="1"/>
  <c r="C298" i="2" s="1"/>
  <c r="D293" i="2"/>
  <c r="B293" i="2" s="1"/>
  <c r="C293" i="2" s="1"/>
  <c r="D305" i="2"/>
  <c r="B305" i="2" s="1"/>
  <c r="C305" i="2" s="1"/>
  <c r="D285" i="2"/>
  <c r="B285" i="2" s="1"/>
  <c r="C285" i="2" s="1"/>
  <c r="D292" i="2"/>
  <c r="B292" i="2" s="1"/>
  <c r="C292" i="2" s="1"/>
  <c r="D275" i="2"/>
  <c r="B275" i="2" s="1"/>
  <c r="C275" i="2" s="1"/>
  <c r="D311" i="2"/>
  <c r="B311" i="2" s="1"/>
  <c r="C311" i="2" s="1"/>
  <c r="D276" i="2"/>
  <c r="B276" i="2" s="1"/>
  <c r="C276" i="2" s="1"/>
  <c r="D289" i="2"/>
  <c r="B289" i="2" s="1"/>
  <c r="C289" i="2" s="1"/>
  <c r="D302" i="2"/>
  <c r="B302" i="2" s="1"/>
  <c r="C302" i="2" s="1"/>
  <c r="D310" i="2"/>
  <c r="B310" i="2" s="1"/>
  <c r="C310" i="2" s="1"/>
  <c r="D306" i="2"/>
  <c r="B306" i="2" s="1"/>
  <c r="C306" i="2" s="1"/>
  <c r="D296" i="2"/>
  <c r="B296" i="2" s="1"/>
  <c r="C296" i="2" s="1"/>
  <c r="D277" i="2"/>
  <c r="B277" i="2" s="1"/>
  <c r="C277" i="2" s="1"/>
  <c r="D290" i="2"/>
  <c r="B290" i="2" s="1"/>
  <c r="C290" i="2" s="1"/>
  <c r="D263" i="2"/>
  <c r="B263" i="2" s="1"/>
  <c r="C263" i="2" s="1"/>
  <c r="D43" i="2"/>
  <c r="B43" i="2" s="1"/>
  <c r="C43" i="2" s="1"/>
  <c r="D58" i="2"/>
  <c r="B58" i="2" s="1"/>
  <c r="C58" i="2" s="1"/>
  <c r="D41" i="2"/>
  <c r="B41" i="2" s="1"/>
  <c r="C41" i="2" s="1"/>
  <c r="D47" i="2"/>
  <c r="B47" i="2" s="1"/>
  <c r="C47" i="2" s="1"/>
  <c r="D42" i="2"/>
  <c r="B42" i="2" s="1"/>
  <c r="C42" i="2" s="1"/>
  <c r="D60" i="2"/>
  <c r="B60" i="2" s="1"/>
  <c r="C60" i="2" s="1"/>
  <c r="D49" i="2"/>
  <c r="B49" i="2" s="1"/>
  <c r="C49" i="2" s="1"/>
  <c r="D44" i="2"/>
  <c r="B44" i="2" s="1"/>
  <c r="C44" i="2" s="1"/>
  <c r="D57" i="2"/>
  <c r="B57" i="2" s="1"/>
  <c r="C57" i="2" s="1"/>
  <c r="D45" i="2"/>
  <c r="B45" i="2" s="1"/>
  <c r="C45" i="2" s="1"/>
  <c r="D54" i="2"/>
  <c r="B54" i="2" s="1"/>
  <c r="C54" i="2" s="1"/>
  <c r="D25" i="2"/>
  <c r="B25" i="2" s="1"/>
  <c r="C25" i="2" s="1"/>
  <c r="D59" i="2"/>
  <c r="B59" i="2" s="1"/>
  <c r="C59" i="2" s="1"/>
  <c r="D30" i="2"/>
  <c r="B30" i="2" s="1"/>
  <c r="C30" i="2" s="1"/>
  <c r="D51" i="2"/>
  <c r="B51" i="2" s="1"/>
  <c r="C51" i="2" s="1"/>
  <c r="D56" i="2"/>
  <c r="B56" i="2" s="1"/>
  <c r="C56" i="2" s="1"/>
  <c r="D29" i="2"/>
  <c r="B29" i="2" s="1"/>
  <c r="C29" i="2" s="1"/>
  <c r="D17" i="2"/>
  <c r="B17" i="2" s="1"/>
  <c r="C17" i="2" s="1"/>
  <c r="D10" i="2"/>
  <c r="B10" i="2" s="1"/>
  <c r="C10" i="2" s="1"/>
  <c r="D6" i="2"/>
  <c r="B6" i="2" s="1"/>
  <c r="C6" i="2" s="1"/>
  <c r="D27" i="2"/>
  <c r="B27" i="2" s="1"/>
  <c r="C27" i="2" s="1"/>
  <c r="D28" i="2"/>
  <c r="B28" i="2" s="1"/>
  <c r="C28" i="2" s="1"/>
  <c r="D4" i="2"/>
  <c r="B4" i="2" s="1"/>
  <c r="C4" i="2" s="1"/>
  <c r="D8" i="2"/>
  <c r="B8" i="2" s="1"/>
  <c r="C8" i="2" s="1"/>
  <c r="D62" i="2"/>
  <c r="B62" i="2" s="1"/>
  <c r="C62" i="2" s="1"/>
  <c r="D48" i="2"/>
  <c r="B48" i="2" s="1"/>
  <c r="C48" i="2" s="1"/>
  <c r="D40" i="2"/>
  <c r="B40" i="2" s="1"/>
  <c r="C40" i="2" s="1"/>
  <c r="D38" i="2"/>
  <c r="B38" i="2" s="1"/>
  <c r="C38" i="2" s="1"/>
  <c r="H436" i="2" l="1"/>
  <c r="M436" i="2"/>
  <c r="N436" i="2"/>
  <c r="T436" i="2"/>
  <c r="H437" i="2"/>
  <c r="M437" i="2"/>
  <c r="N437" i="2"/>
  <c r="T437" i="2"/>
  <c r="H438" i="2"/>
  <c r="M438" i="2"/>
  <c r="N438" i="2"/>
  <c r="T438" i="2"/>
  <c r="H439" i="2"/>
  <c r="M439" i="2"/>
  <c r="N439" i="2"/>
  <c r="T439" i="2"/>
  <c r="H440" i="2"/>
  <c r="M440" i="2"/>
  <c r="N440" i="2"/>
  <c r="T440" i="2"/>
  <c r="H441" i="2"/>
  <c r="M441" i="2"/>
  <c r="N441" i="2"/>
  <c r="T441" i="2"/>
  <c r="H442" i="2"/>
  <c r="M442" i="2"/>
  <c r="N442" i="2"/>
  <c r="T442" i="2"/>
  <c r="H443" i="2"/>
  <c r="M443" i="2"/>
  <c r="N443" i="2"/>
  <c r="T443" i="2"/>
  <c r="H444" i="2"/>
  <c r="M444" i="2"/>
  <c r="N444" i="2"/>
  <c r="T444" i="2"/>
  <c r="H445" i="2"/>
  <c r="M445" i="2"/>
  <c r="N445" i="2"/>
  <c r="T445" i="2"/>
  <c r="H446" i="2"/>
  <c r="M446" i="2"/>
  <c r="N446" i="2"/>
  <c r="T446" i="2"/>
  <c r="H447" i="2"/>
  <c r="M447" i="2"/>
  <c r="N447" i="2"/>
  <c r="T447" i="2"/>
  <c r="H448" i="2"/>
  <c r="M448" i="2"/>
  <c r="N448" i="2"/>
  <c r="T448" i="2"/>
  <c r="H449" i="2"/>
  <c r="M449" i="2"/>
  <c r="N449" i="2"/>
  <c r="T449" i="2"/>
  <c r="H450" i="2"/>
  <c r="M450" i="2"/>
  <c r="N450" i="2"/>
  <c r="T450" i="2"/>
  <c r="H451" i="2"/>
  <c r="M451" i="2"/>
  <c r="N451" i="2"/>
  <c r="T451" i="2"/>
  <c r="H452" i="2"/>
  <c r="M452" i="2"/>
  <c r="N452" i="2"/>
  <c r="T452" i="2"/>
  <c r="H453" i="2"/>
  <c r="M453" i="2"/>
  <c r="N453" i="2"/>
  <c r="T453" i="2"/>
  <c r="H454" i="2"/>
  <c r="M454" i="2"/>
  <c r="N454" i="2"/>
  <c r="T454" i="2"/>
  <c r="H455" i="2"/>
  <c r="M455" i="2"/>
  <c r="N455" i="2"/>
  <c r="T455" i="2"/>
  <c r="H456" i="2"/>
  <c r="M456" i="2"/>
  <c r="N456" i="2"/>
  <c r="T456" i="2"/>
  <c r="H457" i="2"/>
  <c r="M457" i="2"/>
  <c r="N457" i="2"/>
  <c r="T457" i="2"/>
  <c r="H458" i="2"/>
  <c r="M458" i="2"/>
  <c r="N458" i="2"/>
  <c r="T458" i="2"/>
  <c r="H459" i="2"/>
  <c r="M459" i="2"/>
  <c r="N459" i="2"/>
  <c r="T459" i="2"/>
  <c r="H460" i="2"/>
  <c r="M460" i="2"/>
  <c r="N460" i="2"/>
  <c r="T460" i="2"/>
  <c r="H461" i="2"/>
  <c r="M461" i="2"/>
  <c r="N461" i="2"/>
  <c r="T461" i="2"/>
  <c r="H462" i="2"/>
  <c r="M462" i="2"/>
  <c r="N462" i="2"/>
  <c r="T462" i="2"/>
  <c r="H463" i="2"/>
  <c r="M463" i="2"/>
  <c r="N463" i="2"/>
  <c r="T463" i="2"/>
  <c r="H464" i="2"/>
  <c r="M464" i="2"/>
  <c r="N464" i="2"/>
  <c r="T464" i="2"/>
  <c r="H465" i="2"/>
  <c r="M465" i="2"/>
  <c r="N465" i="2"/>
  <c r="T465" i="2"/>
  <c r="H466" i="2"/>
  <c r="M466" i="2"/>
  <c r="N466" i="2"/>
  <c r="T466" i="2"/>
  <c r="H467" i="2"/>
  <c r="M467" i="2"/>
  <c r="N467" i="2"/>
  <c r="T467" i="2"/>
  <c r="H468" i="2"/>
  <c r="M468" i="2"/>
  <c r="N468" i="2"/>
  <c r="T468" i="2"/>
  <c r="H469" i="2"/>
  <c r="M469" i="2"/>
  <c r="N469" i="2"/>
  <c r="T469" i="2"/>
  <c r="H470" i="2"/>
  <c r="M470" i="2"/>
  <c r="N470" i="2"/>
  <c r="T470" i="2"/>
  <c r="H471" i="2"/>
  <c r="M471" i="2"/>
  <c r="N471" i="2"/>
  <c r="T471" i="2"/>
  <c r="H472" i="2"/>
  <c r="M472" i="2"/>
  <c r="N472" i="2"/>
  <c r="T472" i="2"/>
  <c r="H473" i="2"/>
  <c r="M473" i="2"/>
  <c r="N473" i="2"/>
  <c r="T473" i="2"/>
  <c r="H474" i="2"/>
  <c r="M474" i="2"/>
  <c r="N474" i="2"/>
  <c r="T474" i="2"/>
  <c r="H475" i="2"/>
  <c r="M475" i="2"/>
  <c r="N475" i="2"/>
  <c r="L475" i="2" s="1"/>
  <c r="T475" i="2"/>
  <c r="H476" i="2"/>
  <c r="M476" i="2"/>
  <c r="N476" i="2"/>
  <c r="T476" i="2"/>
  <c r="H477" i="2"/>
  <c r="M477" i="2"/>
  <c r="N477" i="2"/>
  <c r="T477" i="2"/>
  <c r="H478" i="2"/>
  <c r="M478" i="2"/>
  <c r="N478" i="2"/>
  <c r="T478" i="2"/>
  <c r="H479" i="2"/>
  <c r="M479" i="2"/>
  <c r="N479" i="2"/>
  <c r="T479" i="2"/>
  <c r="H480" i="2"/>
  <c r="M480" i="2"/>
  <c r="N480" i="2"/>
  <c r="L480" i="2" s="1"/>
  <c r="T480" i="2"/>
  <c r="H481" i="2"/>
  <c r="M481" i="2"/>
  <c r="N481" i="2"/>
  <c r="L481" i="2" s="1"/>
  <c r="T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Q482" i="2"/>
  <c r="P482" i="2" s="1"/>
  <c r="R482" i="2"/>
  <c r="S482" i="2"/>
  <c r="T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Q483" i="2"/>
  <c r="P483" i="2" s="1"/>
  <c r="R483" i="2"/>
  <c r="S483" i="2"/>
  <c r="T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Q484" i="2"/>
  <c r="P484" i="2" s="1"/>
  <c r="R484" i="2"/>
  <c r="S484" i="2"/>
  <c r="T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Q485" i="2"/>
  <c r="P485" i="2" s="1"/>
  <c r="R485" i="2"/>
  <c r="S485" i="2"/>
  <c r="T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Q486" i="2"/>
  <c r="P486" i="2" s="1"/>
  <c r="R486" i="2"/>
  <c r="S486" i="2"/>
  <c r="T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Q487" i="2"/>
  <c r="P487" i="2" s="1"/>
  <c r="R487" i="2"/>
  <c r="S487" i="2"/>
  <c r="T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Q488" i="2"/>
  <c r="P488" i="2" s="1"/>
  <c r="R488" i="2"/>
  <c r="S488" i="2"/>
  <c r="T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Q489" i="2"/>
  <c r="P489" i="2" s="1"/>
  <c r="R489" i="2"/>
  <c r="S489" i="2"/>
  <c r="T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Q490" i="2"/>
  <c r="P490" i="2" s="1"/>
  <c r="R490" i="2"/>
  <c r="S490" i="2"/>
  <c r="T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Q491" i="2"/>
  <c r="P491" i="2" s="1"/>
  <c r="R491" i="2"/>
  <c r="S491" i="2"/>
  <c r="T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Q492" i="2"/>
  <c r="P492" i="2" s="1"/>
  <c r="R492" i="2"/>
  <c r="S492" i="2"/>
  <c r="T492" i="2"/>
  <c r="T493" i="2"/>
  <c r="H230" i="2"/>
  <c r="M230" i="2"/>
  <c r="N230" i="2"/>
  <c r="T230" i="2"/>
  <c r="Z75" i="2"/>
  <c r="L455" i="2" l="1"/>
  <c r="L473" i="2"/>
  <c r="L479" i="2"/>
  <c r="L448" i="2"/>
  <c r="L478" i="2"/>
  <c r="L468" i="2"/>
  <c r="L465" i="2"/>
  <c r="L454" i="2"/>
  <c r="L450" i="2"/>
  <c r="L447" i="2"/>
  <c r="L467" i="2"/>
  <c r="L472" i="2"/>
  <c r="L460" i="2"/>
  <c r="L449" i="2"/>
  <c r="L451" i="2"/>
  <c r="L453" i="2"/>
  <c r="L440" i="2"/>
  <c r="L477" i="2"/>
  <c r="L230" i="2"/>
  <c r="L476" i="2"/>
  <c r="L471" i="2"/>
  <c r="L463" i="2"/>
  <c r="L458" i="2"/>
  <c r="L470" i="2"/>
  <c r="L452" i="2"/>
  <c r="L474" i="2"/>
  <c r="L469" i="2"/>
  <c r="L464" i="2"/>
  <c r="L462" i="2"/>
  <c r="L457" i="2"/>
  <c r="L456" i="2"/>
  <c r="L459" i="2"/>
  <c r="L441" i="2"/>
  <c r="L444" i="2"/>
  <c r="L446" i="2"/>
  <c r="L438" i="2"/>
  <c r="L437" i="2"/>
  <c r="L439" i="2"/>
  <c r="L461" i="2"/>
  <c r="L466" i="2"/>
  <c r="L436" i="2"/>
  <c r="L443" i="2"/>
  <c r="L442" i="2"/>
  <c r="L445" i="2"/>
  <c r="R501" i="2" l="1"/>
  <c r="R500" i="2"/>
  <c r="R499" i="2"/>
  <c r="R498" i="2"/>
  <c r="R497" i="2"/>
  <c r="R417" i="2"/>
  <c r="R416" i="2"/>
  <c r="R415" i="2"/>
  <c r="R414" i="2"/>
  <c r="R413" i="2"/>
  <c r="R334" i="2"/>
  <c r="R333" i="2"/>
  <c r="R332" i="2"/>
  <c r="R331" i="2"/>
  <c r="R330" i="2"/>
  <c r="R251" i="2"/>
  <c r="R250" i="2"/>
  <c r="R249" i="2"/>
  <c r="R248" i="2"/>
  <c r="R247" i="2"/>
  <c r="R167" i="2"/>
  <c r="R166" i="2"/>
  <c r="R165" i="2"/>
  <c r="R164" i="2"/>
  <c r="R163" i="2"/>
  <c r="R83" i="2"/>
  <c r="R82" i="2"/>
  <c r="R81" i="2"/>
  <c r="R80" i="2"/>
  <c r="R79" i="2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F70" i="13" l="1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Q408" i="2"/>
  <c r="P408" i="2" s="1"/>
  <c r="Q407" i="2"/>
  <c r="P407" i="2" s="1"/>
  <c r="Q406" i="2"/>
  <c r="P406" i="2" s="1"/>
  <c r="Q405" i="2"/>
  <c r="P405" i="2" s="1"/>
  <c r="Q242" i="2"/>
  <c r="P242" i="2" s="1"/>
  <c r="Q241" i="2"/>
  <c r="P241" i="2" s="1"/>
  <c r="Q240" i="2"/>
  <c r="P240" i="2" s="1"/>
  <c r="Q239" i="2"/>
  <c r="P239" i="2" s="1"/>
  <c r="C89" i="1"/>
  <c r="C106" i="1"/>
  <c r="C105" i="1"/>
  <c r="C102" i="1"/>
  <c r="C101" i="1"/>
  <c r="C100" i="1"/>
  <c r="C99" i="1"/>
  <c r="C98" i="1"/>
  <c r="C97" i="1"/>
  <c r="C94" i="1"/>
  <c r="C93" i="1"/>
  <c r="C92" i="1"/>
  <c r="C86" i="1"/>
  <c r="C85" i="1"/>
  <c r="C82" i="1"/>
  <c r="C81" i="1"/>
  <c r="C80" i="1"/>
  <c r="C79" i="1"/>
  <c r="C78" i="1"/>
  <c r="C77" i="1"/>
  <c r="C76" i="1"/>
  <c r="C75" i="1"/>
  <c r="C72" i="1"/>
  <c r="C71" i="1"/>
  <c r="C70" i="1"/>
  <c r="C67" i="1"/>
  <c r="C64" i="1"/>
  <c r="C61" i="1"/>
  <c r="C60" i="1"/>
  <c r="C59" i="1"/>
  <c r="C58" i="1"/>
  <c r="C57" i="1"/>
  <c r="C54" i="1"/>
  <c r="C53" i="1"/>
  <c r="C50" i="1"/>
  <c r="C47" i="1"/>
  <c r="C35" i="1"/>
  <c r="C32" i="1"/>
  <c r="C44" i="1"/>
  <c r="C43" i="1"/>
  <c r="C42" i="1"/>
  <c r="C41" i="1"/>
  <c r="C40" i="1"/>
  <c r="C39" i="1"/>
  <c r="C38" i="1"/>
  <c r="C10" i="1"/>
  <c r="C9" i="1"/>
  <c r="C8" i="1"/>
  <c r="C18" i="1"/>
  <c r="C17" i="1"/>
  <c r="C16" i="1"/>
  <c r="C15" i="1"/>
  <c r="C14" i="1"/>
  <c r="C13" i="1"/>
  <c r="C29" i="1"/>
  <c r="C28" i="1"/>
  <c r="C27" i="1"/>
  <c r="C26" i="1"/>
  <c r="C25" i="1"/>
  <c r="C24" i="1"/>
  <c r="C23" i="1"/>
  <c r="C22" i="1"/>
  <c r="C21" i="1"/>
  <c r="D34" i="1"/>
  <c r="D104" i="1"/>
  <c r="D96" i="1"/>
  <c r="D88" i="1"/>
  <c r="D91" i="1"/>
  <c r="D84" i="1"/>
  <c r="D74" i="1"/>
  <c r="D69" i="1"/>
  <c r="D66" i="1"/>
  <c r="D63" i="1"/>
  <c r="D56" i="1"/>
  <c r="D52" i="1"/>
  <c r="D49" i="1"/>
  <c r="D46" i="1"/>
  <c r="D37" i="1"/>
  <c r="D20" i="1"/>
  <c r="D31" i="1"/>
  <c r="D12" i="1"/>
  <c r="D7" i="1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T374" i="2"/>
  <c r="N374" i="2"/>
  <c r="H374" i="2"/>
  <c r="T373" i="2"/>
  <c r="N373" i="2"/>
  <c r="H373" i="2"/>
  <c r="T372" i="2"/>
  <c r="N372" i="2"/>
  <c r="H372" i="2"/>
  <c r="T371" i="2"/>
  <c r="N371" i="2"/>
  <c r="H371" i="2"/>
  <c r="T370" i="2"/>
  <c r="N370" i="2"/>
  <c r="H370" i="2"/>
  <c r="T369" i="2"/>
  <c r="N369" i="2"/>
  <c r="H369" i="2"/>
  <c r="T368" i="2"/>
  <c r="N368" i="2"/>
  <c r="H368" i="2"/>
  <c r="T367" i="2"/>
  <c r="N367" i="2"/>
  <c r="H367" i="2"/>
  <c r="T366" i="2"/>
  <c r="N366" i="2"/>
  <c r="H366" i="2"/>
  <c r="T365" i="2"/>
  <c r="N365" i="2"/>
  <c r="H365" i="2"/>
  <c r="T364" i="2"/>
  <c r="N364" i="2"/>
  <c r="H364" i="2"/>
  <c r="T363" i="2"/>
  <c r="N363" i="2"/>
  <c r="H363" i="2"/>
  <c r="T362" i="2"/>
  <c r="N362" i="2"/>
  <c r="H362" i="2"/>
  <c r="T361" i="2"/>
  <c r="N361" i="2"/>
  <c r="H361" i="2"/>
  <c r="T199" i="2"/>
  <c r="N199" i="2"/>
  <c r="H199" i="2"/>
  <c r="T198" i="2"/>
  <c r="N198" i="2"/>
  <c r="H198" i="2"/>
  <c r="T197" i="2"/>
  <c r="N197" i="2"/>
  <c r="H197" i="2"/>
  <c r="T196" i="2"/>
  <c r="N196" i="2"/>
  <c r="H196" i="2"/>
  <c r="T195" i="2"/>
  <c r="N195" i="2"/>
  <c r="H195" i="2"/>
  <c r="T194" i="2"/>
  <c r="N194" i="2"/>
  <c r="H194" i="2"/>
  <c r="T193" i="2"/>
  <c r="N193" i="2"/>
  <c r="H193" i="2"/>
  <c r="T192" i="2"/>
  <c r="N192" i="2"/>
  <c r="H192" i="2"/>
  <c r="T191" i="2"/>
  <c r="N191" i="2"/>
  <c r="H191" i="2"/>
  <c r="T190" i="2"/>
  <c r="N190" i="2"/>
  <c r="H190" i="2"/>
  <c r="T189" i="2"/>
  <c r="N189" i="2"/>
  <c r="H189" i="2"/>
  <c r="T188" i="2"/>
  <c r="N188" i="2"/>
  <c r="H188" i="2"/>
  <c r="T187" i="2"/>
  <c r="N187" i="2"/>
  <c r="H187" i="2"/>
  <c r="T186" i="2"/>
  <c r="N186" i="2"/>
  <c r="H186" i="2"/>
  <c r="R496" i="2"/>
  <c r="R495" i="2"/>
  <c r="R494" i="2"/>
  <c r="AL493" i="2"/>
  <c r="AK493" i="2"/>
  <c r="AJ493" i="2"/>
  <c r="AH493" i="2"/>
  <c r="AG493" i="2"/>
  <c r="AF493" i="2"/>
  <c r="AD493" i="2"/>
  <c r="AC493" i="2"/>
  <c r="AB493" i="2"/>
  <c r="AA493" i="2"/>
  <c r="Z493" i="2"/>
  <c r="X493" i="2"/>
  <c r="W493" i="2"/>
  <c r="R412" i="2"/>
  <c r="R411" i="2"/>
  <c r="R410" i="2"/>
  <c r="AL409" i="2"/>
  <c r="AK409" i="2"/>
  <c r="AJ409" i="2"/>
  <c r="AH409" i="2"/>
  <c r="AG409" i="2"/>
  <c r="AF409" i="2"/>
  <c r="AD409" i="2"/>
  <c r="AC409" i="2"/>
  <c r="AB409" i="2"/>
  <c r="AA409" i="2"/>
  <c r="Z409" i="2"/>
  <c r="X409" i="2"/>
  <c r="W409" i="2"/>
  <c r="R329" i="2"/>
  <c r="R328" i="2"/>
  <c r="R327" i="2"/>
  <c r="AL326" i="2"/>
  <c r="AK326" i="2"/>
  <c r="AJ326" i="2"/>
  <c r="AH326" i="2"/>
  <c r="AG326" i="2"/>
  <c r="AF326" i="2"/>
  <c r="AD326" i="2"/>
  <c r="AC326" i="2"/>
  <c r="AB326" i="2"/>
  <c r="AA326" i="2"/>
  <c r="Z326" i="2"/>
  <c r="X326" i="2"/>
  <c r="W326" i="2"/>
  <c r="R246" i="2"/>
  <c r="R245" i="2"/>
  <c r="R244" i="2"/>
  <c r="AL243" i="2"/>
  <c r="AK243" i="2"/>
  <c r="AJ243" i="2"/>
  <c r="AH243" i="2"/>
  <c r="AG243" i="2"/>
  <c r="AF243" i="2"/>
  <c r="AD243" i="2"/>
  <c r="AC243" i="2"/>
  <c r="AB243" i="2"/>
  <c r="AA243" i="2"/>
  <c r="Z243" i="2"/>
  <c r="X243" i="2"/>
  <c r="W243" i="2"/>
  <c r="R162" i="2"/>
  <c r="R161" i="2"/>
  <c r="R160" i="2"/>
  <c r="AL159" i="2"/>
  <c r="AK159" i="2"/>
  <c r="AJ159" i="2"/>
  <c r="AH159" i="2"/>
  <c r="AG159" i="2"/>
  <c r="AF159" i="2"/>
  <c r="AD159" i="2"/>
  <c r="AC159" i="2"/>
  <c r="AB159" i="2"/>
  <c r="AA159" i="2"/>
  <c r="Z159" i="2"/>
  <c r="X159" i="2"/>
  <c r="W159" i="2"/>
  <c r="R78" i="2"/>
  <c r="R77" i="2"/>
  <c r="R76" i="2"/>
  <c r="K3" i="13"/>
  <c r="K2" i="13"/>
  <c r="K6" i="13"/>
  <c r="K5" i="13"/>
  <c r="L192" i="2" l="1"/>
  <c r="L364" i="2"/>
  <c r="L374" i="2"/>
  <c r="L195" i="2"/>
  <c r="L187" i="2"/>
  <c r="L188" i="2"/>
  <c r="L198" i="2"/>
  <c r="L362" i="2"/>
  <c r="L189" i="2"/>
  <c r="L363" i="2"/>
  <c r="L373" i="2"/>
  <c r="L370" i="2"/>
  <c r="L367" i="2"/>
  <c r="L191" i="2"/>
  <c r="L193" i="2"/>
  <c r="L361" i="2"/>
  <c r="L371" i="2"/>
  <c r="L368" i="2"/>
  <c r="L372" i="2"/>
  <c r="L369" i="2"/>
  <c r="L186" i="2"/>
  <c r="L199" i="2"/>
  <c r="L196" i="2"/>
  <c r="L197" i="2"/>
  <c r="L365" i="2"/>
  <c r="L366" i="2"/>
  <c r="AI326" i="2"/>
  <c r="AE243" i="2"/>
  <c r="AI243" i="2"/>
  <c r="L190" i="2"/>
  <c r="L194" i="2"/>
  <c r="Y243" i="2"/>
  <c r="Y493" i="2"/>
  <c r="AE493" i="2"/>
  <c r="AI493" i="2"/>
  <c r="Y159" i="2"/>
  <c r="AM493" i="2"/>
  <c r="AE409" i="2"/>
  <c r="AM409" i="2"/>
  <c r="AE326" i="2"/>
  <c r="Y326" i="2"/>
  <c r="AM326" i="2"/>
  <c r="AE159" i="2"/>
  <c r="AM159" i="2"/>
  <c r="AI159" i="2"/>
  <c r="AM243" i="2"/>
  <c r="Y409" i="2"/>
  <c r="AI409" i="2"/>
  <c r="H435" i="2" l="1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408" i="2"/>
  <c r="H241" i="2"/>
  <c r="H240" i="2"/>
  <c r="H239" i="2"/>
  <c r="H238" i="2"/>
  <c r="H237" i="2"/>
  <c r="H236" i="2"/>
  <c r="H235" i="2"/>
  <c r="H234" i="2"/>
  <c r="H233" i="2"/>
  <c r="H232" i="2"/>
  <c r="H231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242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408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172" i="2"/>
  <c r="T88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S408" i="2"/>
  <c r="R408" i="2"/>
  <c r="O408" i="2"/>
  <c r="N408" i="2"/>
  <c r="L408" i="2"/>
  <c r="K408" i="2"/>
  <c r="J408" i="2"/>
  <c r="I408" i="2"/>
  <c r="G408" i="2"/>
  <c r="F408" i="2"/>
  <c r="E408" i="2"/>
  <c r="D408" i="2"/>
  <c r="C408" i="2"/>
  <c r="B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J242" i="2"/>
  <c r="S242" i="2"/>
  <c r="R242" i="2"/>
  <c r="O242" i="2"/>
  <c r="N242" i="2"/>
  <c r="L242" i="2"/>
  <c r="K242" i="2"/>
  <c r="I242" i="2"/>
  <c r="G242" i="2"/>
  <c r="F242" i="2"/>
  <c r="E242" i="2"/>
  <c r="D242" i="2"/>
  <c r="C242" i="2"/>
  <c r="B242" i="2"/>
  <c r="N241" i="2"/>
  <c r="N240" i="2"/>
  <c r="N239" i="2"/>
  <c r="N238" i="2"/>
  <c r="N237" i="2"/>
  <c r="N236" i="2"/>
  <c r="N235" i="2"/>
  <c r="N234" i="2"/>
  <c r="N233" i="2"/>
  <c r="N232" i="2"/>
  <c r="N231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S480" i="2" l="1"/>
  <c r="R481" i="2"/>
  <c r="R480" i="2"/>
  <c r="Q480" i="2" s="1"/>
  <c r="P480" i="2" s="1"/>
  <c r="O480" i="2" s="1"/>
  <c r="S481" i="2"/>
  <c r="Q481" i="2" s="1"/>
  <c r="P481" i="2" s="1"/>
  <c r="O481" i="2" s="1"/>
  <c r="F481" i="2"/>
  <c r="G481" i="2"/>
  <c r="F480" i="2"/>
  <c r="G480" i="2"/>
  <c r="S314" i="2"/>
  <c r="Q314" i="2" s="1"/>
  <c r="P314" i="2" s="1"/>
  <c r="O314" i="2" s="1"/>
  <c r="S315" i="2"/>
  <c r="Q315" i="2" s="1"/>
  <c r="P315" i="2" s="1"/>
  <c r="O315" i="2" s="1"/>
  <c r="R479" i="2"/>
  <c r="S479" i="2"/>
  <c r="G479" i="2"/>
  <c r="F479" i="2"/>
  <c r="R143" i="2"/>
  <c r="R145" i="2"/>
  <c r="R136" i="2"/>
  <c r="S144" i="2"/>
  <c r="R135" i="2"/>
  <c r="R144" i="2"/>
  <c r="R140" i="2"/>
  <c r="S130" i="2"/>
  <c r="S136" i="2"/>
  <c r="S135" i="2"/>
  <c r="S142" i="2"/>
  <c r="S143" i="2"/>
  <c r="S145" i="2"/>
  <c r="Q145" i="2" s="1"/>
  <c r="P145" i="2" s="1"/>
  <c r="O145" i="2" s="1"/>
  <c r="S141" i="2"/>
  <c r="R128" i="2"/>
  <c r="R138" i="2"/>
  <c r="S138" i="2"/>
  <c r="R141" i="2"/>
  <c r="S139" i="2"/>
  <c r="S137" i="2"/>
  <c r="R139" i="2"/>
  <c r="R137" i="2"/>
  <c r="S131" i="2"/>
  <c r="R142" i="2"/>
  <c r="S140" i="2"/>
  <c r="R133" i="2"/>
  <c r="R129" i="2"/>
  <c r="R134" i="2"/>
  <c r="S126" i="2"/>
  <c r="R126" i="2"/>
  <c r="R122" i="2"/>
  <c r="S133" i="2"/>
  <c r="S120" i="2"/>
  <c r="R131" i="2"/>
  <c r="S125" i="2"/>
  <c r="R125" i="2"/>
  <c r="S129" i="2"/>
  <c r="S127" i="2"/>
  <c r="S134" i="2"/>
  <c r="S118" i="2"/>
  <c r="S132" i="2"/>
  <c r="R130" i="2"/>
  <c r="S122" i="2"/>
  <c r="S128" i="2"/>
  <c r="R127" i="2"/>
  <c r="R132" i="2"/>
  <c r="R118" i="2"/>
  <c r="R123" i="2"/>
  <c r="R115" i="2"/>
  <c r="S119" i="2"/>
  <c r="R119" i="2"/>
  <c r="R112" i="2"/>
  <c r="S112" i="2"/>
  <c r="R124" i="2"/>
  <c r="S123" i="2"/>
  <c r="S113" i="2"/>
  <c r="R117" i="2"/>
  <c r="S124" i="2"/>
  <c r="R120" i="2"/>
  <c r="R121" i="2"/>
  <c r="S117" i="2"/>
  <c r="S109" i="2"/>
  <c r="S121" i="2"/>
  <c r="S110" i="2"/>
  <c r="R110" i="2"/>
  <c r="S115" i="2"/>
  <c r="S116" i="2"/>
  <c r="R116" i="2"/>
  <c r="R109" i="2"/>
  <c r="R111" i="2"/>
  <c r="R113" i="2"/>
  <c r="S111" i="2"/>
  <c r="R114" i="2"/>
  <c r="S114" i="2"/>
  <c r="R108" i="2"/>
  <c r="S108" i="2"/>
  <c r="S107" i="2"/>
  <c r="R107" i="2"/>
  <c r="G144" i="2"/>
  <c r="G143" i="2"/>
  <c r="F141" i="2"/>
  <c r="F144" i="2"/>
  <c r="F145" i="2"/>
  <c r="G145" i="2"/>
  <c r="F143" i="2"/>
  <c r="F139" i="2"/>
  <c r="F142" i="2"/>
  <c r="G137" i="2"/>
  <c r="G135" i="2"/>
  <c r="F135" i="2"/>
  <c r="G142" i="2"/>
  <c r="G139" i="2"/>
  <c r="F130" i="2"/>
  <c r="G132" i="2"/>
  <c r="F137" i="2"/>
  <c r="G140" i="2"/>
  <c r="F134" i="2"/>
  <c r="G138" i="2"/>
  <c r="F138" i="2"/>
  <c r="G136" i="2"/>
  <c r="F136" i="2"/>
  <c r="F140" i="2"/>
  <c r="G141" i="2"/>
  <c r="F125" i="2"/>
  <c r="F133" i="2"/>
  <c r="F132" i="2"/>
  <c r="G123" i="2"/>
  <c r="G130" i="2"/>
  <c r="G131" i="2"/>
  <c r="F131" i="2"/>
  <c r="F127" i="2"/>
  <c r="F129" i="2"/>
  <c r="G134" i="2"/>
  <c r="G126" i="2"/>
  <c r="F128" i="2"/>
  <c r="F126" i="2"/>
  <c r="F119" i="2"/>
  <c r="G129" i="2"/>
  <c r="G127" i="2"/>
  <c r="G125" i="2"/>
  <c r="G128" i="2"/>
  <c r="G133" i="2"/>
  <c r="F124" i="2"/>
  <c r="G122" i="2"/>
  <c r="F122" i="2"/>
  <c r="G109" i="2"/>
  <c r="G124" i="2"/>
  <c r="G120" i="2"/>
  <c r="F120" i="2"/>
  <c r="F116" i="2"/>
  <c r="F118" i="2"/>
  <c r="F111" i="2"/>
  <c r="G117" i="2"/>
  <c r="G118" i="2"/>
  <c r="F123" i="2"/>
  <c r="G121" i="2"/>
  <c r="F121" i="2"/>
  <c r="F117" i="2"/>
  <c r="F112" i="2"/>
  <c r="G110" i="2"/>
  <c r="G119" i="2"/>
  <c r="F109" i="2"/>
  <c r="G114" i="2"/>
  <c r="F114" i="2"/>
  <c r="G112" i="2"/>
  <c r="G113" i="2"/>
  <c r="F113" i="2"/>
  <c r="F115" i="2"/>
  <c r="F110" i="2"/>
  <c r="G116" i="2"/>
  <c r="G115" i="2"/>
  <c r="G111" i="2"/>
  <c r="G108" i="2"/>
  <c r="F108" i="2"/>
  <c r="F107" i="2"/>
  <c r="G107" i="2"/>
  <c r="S312" i="2"/>
  <c r="Q312" i="2" s="1"/>
  <c r="P312" i="2" s="1"/>
  <c r="O312" i="2" s="1"/>
  <c r="S313" i="2"/>
  <c r="Q313" i="2" s="1"/>
  <c r="P313" i="2" s="1"/>
  <c r="O313" i="2" s="1"/>
  <c r="S310" i="2"/>
  <c r="Q310" i="2" s="1"/>
  <c r="P310" i="2" s="1"/>
  <c r="O310" i="2" s="1"/>
  <c r="S311" i="2"/>
  <c r="Q311" i="2" s="1"/>
  <c r="P311" i="2" s="1"/>
  <c r="O311" i="2" s="1"/>
  <c r="S304" i="2"/>
  <c r="Q304" i="2" s="1"/>
  <c r="P304" i="2" s="1"/>
  <c r="O304" i="2" s="1"/>
  <c r="S301" i="2"/>
  <c r="Q301" i="2" s="1"/>
  <c r="P301" i="2" s="1"/>
  <c r="O301" i="2" s="1"/>
  <c r="S302" i="2"/>
  <c r="Q302" i="2" s="1"/>
  <c r="P302" i="2" s="1"/>
  <c r="O302" i="2" s="1"/>
  <c r="S308" i="2"/>
  <c r="Q308" i="2" s="1"/>
  <c r="P308" i="2" s="1"/>
  <c r="O308" i="2" s="1"/>
  <c r="S309" i="2"/>
  <c r="Q309" i="2" s="1"/>
  <c r="P309" i="2" s="1"/>
  <c r="O309" i="2" s="1"/>
  <c r="S306" i="2"/>
  <c r="Q306" i="2" s="1"/>
  <c r="P306" i="2" s="1"/>
  <c r="O306" i="2" s="1"/>
  <c r="S305" i="2"/>
  <c r="Q305" i="2" s="1"/>
  <c r="P305" i="2" s="1"/>
  <c r="O305" i="2" s="1"/>
  <c r="S303" i="2"/>
  <c r="Q303" i="2" s="1"/>
  <c r="P303" i="2" s="1"/>
  <c r="O303" i="2" s="1"/>
  <c r="S307" i="2"/>
  <c r="Q307" i="2" s="1"/>
  <c r="P307" i="2" s="1"/>
  <c r="O307" i="2" s="1"/>
  <c r="S293" i="2"/>
  <c r="Q293" i="2" s="1"/>
  <c r="P293" i="2" s="1"/>
  <c r="O293" i="2" s="1"/>
  <c r="S299" i="2"/>
  <c r="Q299" i="2" s="1"/>
  <c r="P299" i="2" s="1"/>
  <c r="O299" i="2" s="1"/>
  <c r="S295" i="2"/>
  <c r="Q295" i="2" s="1"/>
  <c r="P295" i="2" s="1"/>
  <c r="O295" i="2" s="1"/>
  <c r="S298" i="2"/>
  <c r="Q298" i="2" s="1"/>
  <c r="P298" i="2" s="1"/>
  <c r="O298" i="2" s="1"/>
  <c r="S300" i="2"/>
  <c r="Q300" i="2" s="1"/>
  <c r="P300" i="2" s="1"/>
  <c r="O300" i="2" s="1"/>
  <c r="S294" i="2"/>
  <c r="Q294" i="2" s="1"/>
  <c r="P294" i="2" s="1"/>
  <c r="O294" i="2" s="1"/>
  <c r="S292" i="2"/>
  <c r="Q292" i="2" s="1"/>
  <c r="P292" i="2" s="1"/>
  <c r="O292" i="2" s="1"/>
  <c r="S291" i="2"/>
  <c r="Q291" i="2" s="1"/>
  <c r="P291" i="2" s="1"/>
  <c r="O291" i="2" s="1"/>
  <c r="S296" i="2"/>
  <c r="Q296" i="2" s="1"/>
  <c r="P296" i="2" s="1"/>
  <c r="O296" i="2" s="1"/>
  <c r="S297" i="2"/>
  <c r="Q297" i="2" s="1"/>
  <c r="P297" i="2" s="1"/>
  <c r="O297" i="2" s="1"/>
  <c r="S288" i="2"/>
  <c r="Q288" i="2" s="1"/>
  <c r="P288" i="2" s="1"/>
  <c r="O288" i="2" s="1"/>
  <c r="S283" i="2"/>
  <c r="Q283" i="2" s="1"/>
  <c r="P283" i="2" s="1"/>
  <c r="O283" i="2" s="1"/>
  <c r="S284" i="2"/>
  <c r="Q284" i="2" s="1"/>
  <c r="P284" i="2" s="1"/>
  <c r="O284" i="2" s="1"/>
  <c r="S290" i="2"/>
  <c r="Q290" i="2" s="1"/>
  <c r="P290" i="2" s="1"/>
  <c r="O290" i="2" s="1"/>
  <c r="S287" i="2"/>
  <c r="Q287" i="2" s="1"/>
  <c r="P287" i="2" s="1"/>
  <c r="O287" i="2" s="1"/>
  <c r="S286" i="2"/>
  <c r="Q286" i="2" s="1"/>
  <c r="P286" i="2" s="1"/>
  <c r="O286" i="2" s="1"/>
  <c r="S285" i="2"/>
  <c r="Q285" i="2" s="1"/>
  <c r="P285" i="2" s="1"/>
  <c r="O285" i="2" s="1"/>
  <c r="S289" i="2"/>
  <c r="Q289" i="2" s="1"/>
  <c r="P289" i="2" s="1"/>
  <c r="O289" i="2" s="1"/>
  <c r="S280" i="2"/>
  <c r="Q280" i="2" s="1"/>
  <c r="P280" i="2" s="1"/>
  <c r="O280" i="2" s="1"/>
  <c r="S278" i="2"/>
  <c r="Q278" i="2" s="1"/>
  <c r="P278" i="2" s="1"/>
  <c r="O278" i="2" s="1"/>
  <c r="S275" i="2"/>
  <c r="Q275" i="2" s="1"/>
  <c r="P275" i="2" s="1"/>
  <c r="O275" i="2" s="1"/>
  <c r="S276" i="2"/>
  <c r="Q276" i="2" s="1"/>
  <c r="P276" i="2" s="1"/>
  <c r="O276" i="2" s="1"/>
  <c r="S281" i="2"/>
  <c r="Q281" i="2" s="1"/>
  <c r="P281" i="2" s="1"/>
  <c r="O281" i="2" s="1"/>
  <c r="S282" i="2"/>
  <c r="Q282" i="2" s="1"/>
  <c r="P282" i="2" s="1"/>
  <c r="O282" i="2" s="1"/>
  <c r="S277" i="2"/>
  <c r="Q277" i="2" s="1"/>
  <c r="P277" i="2" s="1"/>
  <c r="O277" i="2" s="1"/>
  <c r="S279" i="2"/>
  <c r="Q279" i="2" s="1"/>
  <c r="P279" i="2" s="1"/>
  <c r="O279" i="2" s="1"/>
  <c r="S273" i="2"/>
  <c r="Q273" i="2" s="1"/>
  <c r="P273" i="2" s="1"/>
  <c r="O273" i="2" s="1"/>
  <c r="S274" i="2"/>
  <c r="Q274" i="2" s="1"/>
  <c r="P274" i="2" s="1"/>
  <c r="O274" i="2" s="1"/>
  <c r="S272" i="2"/>
  <c r="Q272" i="2" s="1"/>
  <c r="P272" i="2" s="1"/>
  <c r="O272" i="2" s="1"/>
  <c r="S271" i="2"/>
  <c r="Q271" i="2" s="1"/>
  <c r="P271" i="2" s="1"/>
  <c r="O271" i="2" s="1"/>
  <c r="S265" i="2"/>
  <c r="Q265" i="2" s="1"/>
  <c r="P265" i="2" s="1"/>
  <c r="O265" i="2" s="1"/>
  <c r="S261" i="2"/>
  <c r="Q261" i="2" s="1"/>
  <c r="P261" i="2" s="1"/>
  <c r="O261" i="2" s="1"/>
  <c r="S266" i="2"/>
  <c r="Q266" i="2" s="1"/>
  <c r="P266" i="2" s="1"/>
  <c r="O266" i="2" s="1"/>
  <c r="S269" i="2"/>
  <c r="Q269" i="2" s="1"/>
  <c r="P269" i="2" s="1"/>
  <c r="O269" i="2" s="1"/>
  <c r="S260" i="2"/>
  <c r="Q260" i="2" s="1"/>
  <c r="P260" i="2" s="1"/>
  <c r="O260" i="2" s="1"/>
  <c r="S264" i="2"/>
  <c r="Q264" i="2" s="1"/>
  <c r="P264" i="2" s="1"/>
  <c r="O264" i="2" s="1"/>
  <c r="S270" i="2"/>
  <c r="Q270" i="2" s="1"/>
  <c r="P270" i="2" s="1"/>
  <c r="O270" i="2" s="1"/>
  <c r="S259" i="2"/>
  <c r="Q259" i="2" s="1"/>
  <c r="P259" i="2" s="1"/>
  <c r="O259" i="2" s="1"/>
  <c r="S257" i="2"/>
  <c r="Q257" i="2" s="1"/>
  <c r="P257" i="2" s="1"/>
  <c r="O257" i="2" s="1"/>
  <c r="S262" i="2"/>
  <c r="Q262" i="2" s="1"/>
  <c r="P262" i="2" s="1"/>
  <c r="O262" i="2" s="1"/>
  <c r="S267" i="2"/>
  <c r="Q267" i="2" s="1"/>
  <c r="P267" i="2" s="1"/>
  <c r="O267" i="2" s="1"/>
  <c r="S258" i="2"/>
  <c r="Q258" i="2" s="1"/>
  <c r="P258" i="2" s="1"/>
  <c r="O258" i="2" s="1"/>
  <c r="S263" i="2"/>
  <c r="Q263" i="2" s="1"/>
  <c r="P263" i="2" s="1"/>
  <c r="O263" i="2" s="1"/>
  <c r="S268" i="2"/>
  <c r="Q268" i="2" s="1"/>
  <c r="P268" i="2" s="1"/>
  <c r="O268" i="2" s="1"/>
  <c r="S256" i="2"/>
  <c r="Q256" i="2" s="1"/>
  <c r="P256" i="2" s="1"/>
  <c r="O256" i="2" s="1"/>
  <c r="G352" i="2"/>
  <c r="S182" i="2"/>
  <c r="F182" i="2"/>
  <c r="R90" i="2"/>
  <c r="F95" i="2"/>
  <c r="F466" i="2"/>
  <c r="G450" i="2"/>
  <c r="G454" i="2"/>
  <c r="G468" i="2"/>
  <c r="G436" i="2"/>
  <c r="G446" i="2"/>
  <c r="F448" i="2"/>
  <c r="F477" i="2"/>
  <c r="G451" i="2"/>
  <c r="F444" i="2"/>
  <c r="G460" i="2"/>
  <c r="G448" i="2"/>
  <c r="G443" i="2"/>
  <c r="F465" i="2"/>
  <c r="G464" i="2"/>
  <c r="G445" i="2"/>
  <c r="F438" i="2"/>
  <c r="G467" i="2"/>
  <c r="F440" i="2"/>
  <c r="F447" i="2"/>
  <c r="F458" i="2"/>
  <c r="F468" i="2"/>
  <c r="G478" i="2"/>
  <c r="G441" i="2"/>
  <c r="F470" i="2"/>
  <c r="G449" i="2"/>
  <c r="G469" i="2"/>
  <c r="F449" i="2"/>
  <c r="G459" i="2"/>
  <c r="F452" i="2"/>
  <c r="G452" i="2"/>
  <c r="F456" i="2"/>
  <c r="F463" i="2"/>
  <c r="G470" i="2"/>
  <c r="G473" i="2"/>
  <c r="F442" i="2"/>
  <c r="G465" i="2"/>
  <c r="F443" i="2"/>
  <c r="F469" i="2"/>
  <c r="F464" i="2"/>
  <c r="G444" i="2"/>
  <c r="G461" i="2"/>
  <c r="F445" i="2"/>
  <c r="G477" i="2"/>
  <c r="G463" i="2"/>
  <c r="F446" i="2"/>
  <c r="F459" i="2"/>
  <c r="F460" i="2"/>
  <c r="F436" i="2"/>
  <c r="F437" i="2"/>
  <c r="F471" i="2"/>
  <c r="G456" i="2"/>
  <c r="G475" i="2"/>
  <c r="F475" i="2"/>
  <c r="G455" i="2"/>
  <c r="F474" i="2"/>
  <c r="F478" i="2"/>
  <c r="F473" i="2"/>
  <c r="G471" i="2"/>
  <c r="G442" i="2"/>
  <c r="F451" i="2"/>
  <c r="G453" i="2"/>
  <c r="G457" i="2"/>
  <c r="F453" i="2"/>
  <c r="G458" i="2"/>
  <c r="G447" i="2"/>
  <c r="G437" i="2"/>
  <c r="F439" i="2"/>
  <c r="G476" i="2"/>
  <c r="F462" i="2"/>
  <c r="F476" i="2"/>
  <c r="G438" i="2"/>
  <c r="F441" i="2"/>
  <c r="F467" i="2"/>
  <c r="F461" i="2"/>
  <c r="F457" i="2"/>
  <c r="F472" i="2"/>
  <c r="F454" i="2"/>
  <c r="G462" i="2"/>
  <c r="G439" i="2"/>
  <c r="G466" i="2"/>
  <c r="F455" i="2"/>
  <c r="G440" i="2"/>
  <c r="G472" i="2"/>
  <c r="G474" i="2"/>
  <c r="F450" i="2"/>
  <c r="R230" i="2"/>
  <c r="S230" i="2"/>
  <c r="F230" i="2"/>
  <c r="G230" i="2"/>
  <c r="R476" i="2"/>
  <c r="R457" i="2"/>
  <c r="R467" i="2"/>
  <c r="R437" i="2"/>
  <c r="S447" i="2"/>
  <c r="S470" i="2"/>
  <c r="R448" i="2"/>
  <c r="R469" i="2"/>
  <c r="S468" i="2"/>
  <c r="S438" i="2"/>
  <c r="R440" i="2"/>
  <c r="S443" i="2"/>
  <c r="R451" i="2"/>
  <c r="S458" i="2"/>
  <c r="R463" i="2"/>
  <c r="R454" i="2"/>
  <c r="S459" i="2"/>
  <c r="S453" i="2"/>
  <c r="R438" i="2"/>
  <c r="R445" i="2"/>
  <c r="R466" i="2"/>
  <c r="R468" i="2"/>
  <c r="S475" i="2"/>
  <c r="R473" i="2"/>
  <c r="R446" i="2"/>
  <c r="S454" i="2"/>
  <c r="R472" i="2"/>
  <c r="R450" i="2"/>
  <c r="S464" i="2"/>
  <c r="S467" i="2"/>
  <c r="R449" i="2"/>
  <c r="S442" i="2"/>
  <c r="R465" i="2"/>
  <c r="R444" i="2"/>
  <c r="S466" i="2"/>
  <c r="S457" i="2"/>
  <c r="R475" i="2"/>
  <c r="R447" i="2"/>
  <c r="S444" i="2"/>
  <c r="S473" i="2"/>
  <c r="R470" i="2"/>
  <c r="R477" i="2"/>
  <c r="R478" i="2"/>
  <c r="S450" i="2"/>
  <c r="S478" i="2"/>
  <c r="R452" i="2"/>
  <c r="S462" i="2"/>
  <c r="S471" i="2"/>
  <c r="R458" i="2"/>
  <c r="S469" i="2"/>
  <c r="S440" i="2"/>
  <c r="R464" i="2"/>
  <c r="S449" i="2"/>
  <c r="S437" i="2"/>
  <c r="R455" i="2"/>
  <c r="S456" i="2"/>
  <c r="S460" i="2"/>
  <c r="S463" i="2"/>
  <c r="R439" i="2"/>
  <c r="R471" i="2"/>
  <c r="S441" i="2"/>
  <c r="S455" i="2"/>
  <c r="R461" i="2"/>
  <c r="R456" i="2"/>
  <c r="S446" i="2"/>
  <c r="R462" i="2"/>
  <c r="R442" i="2"/>
  <c r="S439" i="2"/>
  <c r="R441" i="2"/>
  <c r="R459" i="2"/>
  <c r="R436" i="2"/>
  <c r="S448" i="2"/>
  <c r="S474" i="2"/>
  <c r="S452" i="2"/>
  <c r="S465" i="2"/>
  <c r="S477" i="2"/>
  <c r="S476" i="2"/>
  <c r="R474" i="2"/>
  <c r="S461" i="2"/>
  <c r="R453" i="2"/>
  <c r="R460" i="2"/>
  <c r="R443" i="2"/>
  <c r="S445" i="2"/>
  <c r="S451" i="2"/>
  <c r="S436" i="2"/>
  <c r="S472" i="2"/>
  <c r="R373" i="2"/>
  <c r="R374" i="2"/>
  <c r="R364" i="2"/>
  <c r="R369" i="2"/>
  <c r="R368" i="2"/>
  <c r="R363" i="2"/>
  <c r="R370" i="2"/>
  <c r="R365" i="2"/>
  <c r="S374" i="2"/>
  <c r="S370" i="2"/>
  <c r="R366" i="2"/>
  <c r="R371" i="2"/>
  <c r="R362" i="2"/>
  <c r="S362" i="2"/>
  <c r="S372" i="2"/>
  <c r="S361" i="2"/>
  <c r="R361" i="2"/>
  <c r="S371" i="2"/>
  <c r="S365" i="2"/>
  <c r="S364" i="2"/>
  <c r="S369" i="2"/>
  <c r="S373" i="2"/>
  <c r="S368" i="2"/>
  <c r="R367" i="2"/>
  <c r="S366" i="2"/>
  <c r="S367" i="2"/>
  <c r="S363" i="2"/>
  <c r="R372" i="2"/>
  <c r="F363" i="2"/>
  <c r="G372" i="2"/>
  <c r="G374" i="2"/>
  <c r="G369" i="2"/>
  <c r="G364" i="2"/>
  <c r="G367" i="2"/>
  <c r="G362" i="2"/>
  <c r="G366" i="2"/>
  <c r="G361" i="2"/>
  <c r="F372" i="2"/>
  <c r="F367" i="2"/>
  <c r="F362" i="2"/>
  <c r="G371" i="2"/>
  <c r="G368" i="2"/>
  <c r="G363" i="2"/>
  <c r="G373" i="2"/>
  <c r="F361" i="2"/>
  <c r="F373" i="2"/>
  <c r="F366" i="2"/>
  <c r="F374" i="2"/>
  <c r="G365" i="2"/>
  <c r="F364" i="2"/>
  <c r="F371" i="2"/>
  <c r="F370" i="2"/>
  <c r="F365" i="2"/>
  <c r="F368" i="2"/>
  <c r="G370" i="2"/>
  <c r="F369" i="2"/>
  <c r="G190" i="2"/>
  <c r="F190" i="2"/>
  <c r="G194" i="2"/>
  <c r="G189" i="2"/>
  <c r="G192" i="2"/>
  <c r="G195" i="2"/>
  <c r="G198" i="2"/>
  <c r="F193" i="2"/>
  <c r="G196" i="2"/>
  <c r="G191" i="2"/>
  <c r="G197" i="2"/>
  <c r="G187" i="2"/>
  <c r="F198" i="2"/>
  <c r="F188" i="2"/>
  <c r="F195" i="2"/>
  <c r="G193" i="2"/>
  <c r="G188" i="2"/>
  <c r="G186" i="2"/>
  <c r="F192" i="2"/>
  <c r="F196" i="2"/>
  <c r="F194" i="2"/>
  <c r="G199" i="2"/>
  <c r="F189" i="2"/>
  <c r="F191" i="2"/>
  <c r="F197" i="2"/>
  <c r="F199" i="2"/>
  <c r="F186" i="2"/>
  <c r="F187" i="2"/>
  <c r="R194" i="2"/>
  <c r="R189" i="2"/>
  <c r="R195" i="2"/>
  <c r="S198" i="2"/>
  <c r="R198" i="2"/>
  <c r="R199" i="2"/>
  <c r="R192" i="2"/>
  <c r="R187" i="2"/>
  <c r="S195" i="2"/>
  <c r="S190" i="2"/>
  <c r="R190" i="2"/>
  <c r="S193" i="2"/>
  <c r="R188" i="2"/>
  <c r="R197" i="2"/>
  <c r="S188" i="2"/>
  <c r="R193" i="2"/>
  <c r="S189" i="2"/>
  <c r="S199" i="2"/>
  <c r="R186" i="2"/>
  <c r="S191" i="2"/>
  <c r="R196" i="2"/>
  <c r="S187" i="2"/>
  <c r="S192" i="2"/>
  <c r="R191" i="2"/>
  <c r="S194" i="2"/>
  <c r="S197" i="2"/>
  <c r="S196" i="2"/>
  <c r="S186" i="2"/>
  <c r="G428" i="2"/>
  <c r="R177" i="2"/>
  <c r="F431" i="2"/>
  <c r="F340" i="2"/>
  <c r="G181" i="2"/>
  <c r="F427" i="2"/>
  <c r="F428" i="2"/>
  <c r="G435" i="2"/>
  <c r="R430" i="2"/>
  <c r="G433" i="2"/>
  <c r="F341" i="2"/>
  <c r="G398" i="2"/>
  <c r="F355" i="2"/>
  <c r="F379" i="2"/>
  <c r="G388" i="2"/>
  <c r="R348" i="2"/>
  <c r="G404" i="2"/>
  <c r="R358" i="2"/>
  <c r="G184" i="2"/>
  <c r="S175" i="2"/>
  <c r="F181" i="2"/>
  <c r="F178" i="2"/>
  <c r="G182" i="2"/>
  <c r="R174" i="2"/>
  <c r="F227" i="2"/>
  <c r="S240" i="2"/>
  <c r="S427" i="2"/>
  <c r="S423" i="2"/>
  <c r="S431" i="2"/>
  <c r="R431" i="2"/>
  <c r="R425" i="2"/>
  <c r="R426" i="2"/>
  <c r="G425" i="2"/>
  <c r="S435" i="2"/>
  <c r="R429" i="2"/>
  <c r="G424" i="2"/>
  <c r="G427" i="2"/>
  <c r="F423" i="2"/>
  <c r="F424" i="2"/>
  <c r="S425" i="2"/>
  <c r="G429" i="2"/>
  <c r="F429" i="2"/>
  <c r="S430" i="2"/>
  <c r="F434" i="2"/>
  <c r="F433" i="2"/>
  <c r="G434" i="2"/>
  <c r="R435" i="2"/>
  <c r="F422" i="2"/>
  <c r="G423" i="2"/>
  <c r="R424" i="2"/>
  <c r="F432" i="2"/>
  <c r="R434" i="2"/>
  <c r="S426" i="2"/>
  <c r="G422" i="2"/>
  <c r="R423" i="2"/>
  <c r="S424" i="2"/>
  <c r="G432" i="2"/>
  <c r="R433" i="2"/>
  <c r="S434" i="2"/>
  <c r="G431" i="2"/>
  <c r="R432" i="2"/>
  <c r="S433" i="2"/>
  <c r="R422" i="2"/>
  <c r="G430" i="2"/>
  <c r="S432" i="2"/>
  <c r="F430" i="2"/>
  <c r="S422" i="2"/>
  <c r="F426" i="2"/>
  <c r="R428" i="2"/>
  <c r="S429" i="2"/>
  <c r="F425" i="2"/>
  <c r="G426" i="2"/>
  <c r="R427" i="2"/>
  <c r="S428" i="2"/>
  <c r="F435" i="2"/>
  <c r="G406" i="2"/>
  <c r="F383" i="2"/>
  <c r="G391" i="2"/>
  <c r="F391" i="2"/>
  <c r="F398" i="2"/>
  <c r="R395" i="2"/>
  <c r="G347" i="2"/>
  <c r="S360" i="2"/>
  <c r="R360" i="2"/>
  <c r="S380" i="2"/>
  <c r="F384" i="2"/>
  <c r="S387" i="2"/>
  <c r="R387" i="2"/>
  <c r="R342" i="2"/>
  <c r="R343" i="2"/>
  <c r="G345" i="2"/>
  <c r="F346" i="2"/>
  <c r="S358" i="2"/>
  <c r="R359" i="2"/>
  <c r="R379" i="2"/>
  <c r="R380" i="2"/>
  <c r="S386" i="2"/>
  <c r="G390" i="2"/>
  <c r="F397" i="2"/>
  <c r="F389" i="2"/>
  <c r="S400" i="2"/>
  <c r="G356" i="2"/>
  <c r="G399" i="2"/>
  <c r="F354" i="2"/>
  <c r="F345" i="2"/>
  <c r="F344" i="2"/>
  <c r="S349" i="2"/>
  <c r="S350" i="2"/>
  <c r="R350" i="2"/>
  <c r="S357" i="2"/>
  <c r="F360" i="2"/>
  <c r="F375" i="2"/>
  <c r="S377" i="2"/>
  <c r="R377" i="2"/>
  <c r="G381" i="2"/>
  <c r="F381" i="2"/>
  <c r="F388" i="2"/>
  <c r="G389" i="2"/>
  <c r="R400" i="2"/>
  <c r="R406" i="2"/>
  <c r="R396" i="2"/>
  <c r="S343" i="2"/>
  <c r="G346" i="2"/>
  <c r="R385" i="2"/>
  <c r="S348" i="2"/>
  <c r="R349" i="2"/>
  <c r="F352" i="2"/>
  <c r="R356" i="2"/>
  <c r="R357" i="2"/>
  <c r="S376" i="2"/>
  <c r="G380" i="2"/>
  <c r="F387" i="2"/>
  <c r="R391" i="2"/>
  <c r="S392" i="2"/>
  <c r="S393" i="2"/>
  <c r="R393" i="2"/>
  <c r="R399" i="2"/>
  <c r="G401" i="2"/>
  <c r="F401" i="2"/>
  <c r="S403" i="2"/>
  <c r="R403" i="2"/>
  <c r="G405" i="2"/>
  <c r="G375" i="2"/>
  <c r="R386" i="2"/>
  <c r="G351" i="2"/>
  <c r="R376" i="2"/>
  <c r="G378" i="2"/>
  <c r="S391" i="2"/>
  <c r="R392" i="2"/>
  <c r="G395" i="2"/>
  <c r="F395" i="2"/>
  <c r="G384" i="2"/>
  <c r="S398" i="2"/>
  <c r="S388" i="2"/>
  <c r="S378" i="2"/>
  <c r="S355" i="2"/>
  <c r="S345" i="2"/>
  <c r="S399" i="2"/>
  <c r="R398" i="2"/>
  <c r="S389" i="2"/>
  <c r="R388" i="2"/>
  <c r="S379" i="2"/>
  <c r="R378" i="2"/>
  <c r="S356" i="2"/>
  <c r="R355" i="2"/>
  <c r="S346" i="2"/>
  <c r="R345" i="2"/>
  <c r="S339" i="2"/>
  <c r="S340" i="2"/>
  <c r="S404" i="2"/>
  <c r="S394" i="2"/>
  <c r="S384" i="2"/>
  <c r="S375" i="2"/>
  <c r="S351" i="2"/>
  <c r="S341" i="2"/>
  <c r="R340" i="2"/>
  <c r="S405" i="2"/>
  <c r="R404" i="2"/>
  <c r="S395" i="2"/>
  <c r="R394" i="2"/>
  <c r="S385" i="2"/>
  <c r="R384" i="2"/>
  <c r="R375" i="2"/>
  <c r="S352" i="2"/>
  <c r="R351" i="2"/>
  <c r="S342" i="2"/>
  <c r="R341" i="2"/>
  <c r="S406" i="2"/>
  <c r="R405" i="2"/>
  <c r="S347" i="2"/>
  <c r="F350" i="2"/>
  <c r="F351" i="2"/>
  <c r="S354" i="2"/>
  <c r="R354" i="2"/>
  <c r="G358" i="2"/>
  <c r="F358" i="2"/>
  <c r="F378" i="2"/>
  <c r="G379" i="2"/>
  <c r="G394" i="2"/>
  <c r="G400" i="2"/>
  <c r="S402" i="2"/>
  <c r="G348" i="2"/>
  <c r="F348" i="2"/>
  <c r="S407" i="2"/>
  <c r="G342" i="2"/>
  <c r="F342" i="2"/>
  <c r="G344" i="2"/>
  <c r="F343" i="2"/>
  <c r="F407" i="2"/>
  <c r="G340" i="2"/>
  <c r="F339" i="2"/>
  <c r="F403" i="2"/>
  <c r="R346" i="2"/>
  <c r="R347" i="2"/>
  <c r="S353" i="2"/>
  <c r="G357" i="2"/>
  <c r="F377" i="2"/>
  <c r="R381" i="2"/>
  <c r="S382" i="2"/>
  <c r="S383" i="2"/>
  <c r="R383" i="2"/>
  <c r="S390" i="2"/>
  <c r="F393" i="2"/>
  <c r="F394" i="2"/>
  <c r="S397" i="2"/>
  <c r="R397" i="2"/>
  <c r="R402" i="2"/>
  <c r="F404" i="2"/>
  <c r="S344" i="2"/>
  <c r="R344" i="2"/>
  <c r="S401" i="2"/>
  <c r="S359" i="2"/>
  <c r="R339" i="2"/>
  <c r="G341" i="2"/>
  <c r="R352" i="2"/>
  <c r="R353" i="2"/>
  <c r="G355" i="2"/>
  <c r="F356" i="2"/>
  <c r="S381" i="2"/>
  <c r="R382" i="2"/>
  <c r="G385" i="2"/>
  <c r="F385" i="2"/>
  <c r="R389" i="2"/>
  <c r="R390" i="2"/>
  <c r="S396" i="2"/>
  <c r="F399" i="2"/>
  <c r="R401" i="2"/>
  <c r="F349" i="2"/>
  <c r="G350" i="2"/>
  <c r="F359" i="2"/>
  <c r="G360" i="2"/>
  <c r="F382" i="2"/>
  <c r="G383" i="2"/>
  <c r="F392" i="2"/>
  <c r="G393" i="2"/>
  <c r="F402" i="2"/>
  <c r="G403" i="2"/>
  <c r="G339" i="2"/>
  <c r="G349" i="2"/>
  <c r="G359" i="2"/>
  <c r="G382" i="2"/>
  <c r="G392" i="2"/>
  <c r="G402" i="2"/>
  <c r="F347" i="2"/>
  <c r="F357" i="2"/>
  <c r="F380" i="2"/>
  <c r="F390" i="2"/>
  <c r="F400" i="2"/>
  <c r="F353" i="2"/>
  <c r="G354" i="2"/>
  <c r="F376" i="2"/>
  <c r="G377" i="2"/>
  <c r="F386" i="2"/>
  <c r="G387" i="2"/>
  <c r="F396" i="2"/>
  <c r="G397" i="2"/>
  <c r="F406" i="2"/>
  <c r="G407" i="2"/>
  <c r="G343" i="2"/>
  <c r="G353" i="2"/>
  <c r="G376" i="2"/>
  <c r="G386" i="2"/>
  <c r="G396" i="2"/>
  <c r="F405" i="2"/>
  <c r="R407" i="2"/>
  <c r="S181" i="2"/>
  <c r="G211" i="2"/>
  <c r="F211" i="2"/>
  <c r="S231" i="2"/>
  <c r="R200" i="2"/>
  <c r="G225" i="2"/>
  <c r="G228" i="2"/>
  <c r="G232" i="2"/>
  <c r="G239" i="2"/>
  <c r="R175" i="2"/>
  <c r="G179" i="2"/>
  <c r="S201" i="2"/>
  <c r="F204" i="2"/>
  <c r="G210" i="2"/>
  <c r="R219" i="2"/>
  <c r="G221" i="2"/>
  <c r="F221" i="2"/>
  <c r="S223" i="2"/>
  <c r="R223" i="2"/>
  <c r="F228" i="2"/>
  <c r="S234" i="2"/>
  <c r="R201" i="2"/>
  <c r="F217" i="2"/>
  <c r="R220" i="2"/>
  <c r="F173" i="2"/>
  <c r="R173" i="2"/>
  <c r="F175" i="2"/>
  <c r="G177" i="2"/>
  <c r="F177" i="2"/>
  <c r="R184" i="2"/>
  <c r="G204" i="2"/>
  <c r="G235" i="2"/>
  <c r="G238" i="2"/>
  <c r="S204" i="2"/>
  <c r="R180" i="2"/>
  <c r="R182" i="2"/>
  <c r="F184" i="2"/>
  <c r="S184" i="2"/>
  <c r="S202" i="2"/>
  <c r="G205" i="2"/>
  <c r="F209" i="2"/>
  <c r="R211" i="2"/>
  <c r="G220" i="2"/>
  <c r="S222" i="2"/>
  <c r="S233" i="2"/>
  <c r="R233" i="2"/>
  <c r="F238" i="2"/>
  <c r="S220" i="2"/>
  <c r="G200" i="2"/>
  <c r="G173" i="2"/>
  <c r="F240" i="2"/>
  <c r="F220" i="2"/>
  <c r="F210" i="2"/>
  <c r="F200" i="2"/>
  <c r="F176" i="2"/>
  <c r="G233" i="2"/>
  <c r="F232" i="2"/>
  <c r="G223" i="2"/>
  <c r="F222" i="2"/>
  <c r="G213" i="2"/>
  <c r="F212" i="2"/>
  <c r="G203" i="2"/>
  <c r="F202" i="2"/>
  <c r="G234" i="2"/>
  <c r="F233" i="2"/>
  <c r="G224" i="2"/>
  <c r="F223" i="2"/>
  <c r="G214" i="2"/>
  <c r="F213" i="2"/>
  <c r="F234" i="2"/>
  <c r="F224" i="2"/>
  <c r="F214" i="2"/>
  <c r="G227" i="2"/>
  <c r="G217" i="2"/>
  <c r="F216" i="2"/>
  <c r="R232" i="2"/>
  <c r="R222" i="2"/>
  <c r="R212" i="2"/>
  <c r="R202" i="2"/>
  <c r="R178" i="2"/>
  <c r="S235" i="2"/>
  <c r="R234" i="2"/>
  <c r="S225" i="2"/>
  <c r="R224" i="2"/>
  <c r="S215" i="2"/>
  <c r="R214" i="2"/>
  <c r="S205" i="2"/>
  <c r="R204" i="2"/>
  <c r="S236" i="2"/>
  <c r="R235" i="2"/>
  <c r="S226" i="2"/>
  <c r="R225" i="2"/>
  <c r="S216" i="2"/>
  <c r="R215" i="2"/>
  <c r="S206" i="2"/>
  <c r="R205" i="2"/>
  <c r="R236" i="2"/>
  <c r="R226" i="2"/>
  <c r="R216" i="2"/>
  <c r="R206" i="2"/>
  <c r="S229" i="2"/>
  <c r="S219" i="2"/>
  <c r="S178" i="2"/>
  <c r="F180" i="2"/>
  <c r="S180" i="2"/>
  <c r="G201" i="2"/>
  <c r="F201" i="2"/>
  <c r="F205" i="2"/>
  <c r="G209" i="2"/>
  <c r="S211" i="2"/>
  <c r="S214" i="2"/>
  <c r="R229" i="2"/>
  <c r="G231" i="2"/>
  <c r="F231" i="2"/>
  <c r="R240" i="2"/>
  <c r="F239" i="2"/>
  <c r="G208" i="2"/>
  <c r="G212" i="2"/>
  <c r="R221" i="2"/>
  <c r="S232" i="2"/>
  <c r="F237" i="2"/>
  <c r="R239" i="2"/>
  <c r="G241" i="2"/>
  <c r="F241" i="2"/>
  <c r="F203" i="2"/>
  <c r="S241" i="2"/>
  <c r="R241" i="2"/>
  <c r="S177" i="2"/>
  <c r="S179" i="2"/>
  <c r="R179" i="2"/>
  <c r="G175" i="2"/>
  <c r="S176" i="2"/>
  <c r="F185" i="2"/>
  <c r="S185" i="2"/>
  <c r="G202" i="2"/>
  <c r="F208" i="2"/>
  <c r="G219" i="2"/>
  <c r="S221" i="2"/>
  <c r="S200" i="2"/>
  <c r="R209" i="2"/>
  <c r="G229" i="2"/>
  <c r="S212" i="2"/>
  <c r="S173" i="2"/>
  <c r="G180" i="2"/>
  <c r="R183" i="2"/>
  <c r="S203" i="2"/>
  <c r="R203" i="2"/>
  <c r="S210" i="2"/>
  <c r="G215" i="2"/>
  <c r="G218" i="2"/>
  <c r="G222" i="2"/>
  <c r="S224" i="2"/>
  <c r="G240" i="2"/>
  <c r="F179" i="2"/>
  <c r="R185" i="2"/>
  <c r="F219" i="2"/>
  <c r="G178" i="2"/>
  <c r="G174" i="2"/>
  <c r="G176" i="2"/>
  <c r="R176" i="2"/>
  <c r="F183" i="2"/>
  <c r="G185" i="2"/>
  <c r="F174" i="2"/>
  <c r="S174" i="2"/>
  <c r="R181" i="2"/>
  <c r="G183" i="2"/>
  <c r="S183" i="2"/>
  <c r="F207" i="2"/>
  <c r="R210" i="2"/>
  <c r="S213" i="2"/>
  <c r="R213" i="2"/>
  <c r="F218" i="2"/>
  <c r="F229" i="2"/>
  <c r="R231" i="2"/>
  <c r="F206" i="2"/>
  <c r="G207" i="2"/>
  <c r="R208" i="2"/>
  <c r="S209" i="2"/>
  <c r="R218" i="2"/>
  <c r="F226" i="2"/>
  <c r="R228" i="2"/>
  <c r="F236" i="2"/>
  <c r="G237" i="2"/>
  <c r="R238" i="2"/>
  <c r="S239" i="2"/>
  <c r="G206" i="2"/>
  <c r="R207" i="2"/>
  <c r="S208" i="2"/>
  <c r="F215" i="2"/>
  <c r="G216" i="2"/>
  <c r="R217" i="2"/>
  <c r="S218" i="2"/>
  <c r="F225" i="2"/>
  <c r="G226" i="2"/>
  <c r="R227" i="2"/>
  <c r="S228" i="2"/>
  <c r="F235" i="2"/>
  <c r="G236" i="2"/>
  <c r="R237" i="2"/>
  <c r="S238" i="2"/>
  <c r="S207" i="2"/>
  <c r="S217" i="2"/>
  <c r="S227" i="2"/>
  <c r="S237" i="2"/>
  <c r="S172" i="2"/>
  <c r="G172" i="2"/>
  <c r="R172" i="2"/>
  <c r="F172" i="2"/>
  <c r="Q109" i="2" l="1"/>
  <c r="P109" i="2" s="1"/>
  <c r="O109" i="2" s="1"/>
  <c r="E481" i="2"/>
  <c r="E480" i="2"/>
  <c r="E107" i="2"/>
  <c r="Q108" i="2"/>
  <c r="P108" i="2" s="1"/>
  <c r="O108" i="2" s="1"/>
  <c r="E116" i="2"/>
  <c r="Q112" i="2"/>
  <c r="P112" i="2" s="1"/>
  <c r="O112" i="2" s="1"/>
  <c r="E144" i="2"/>
  <c r="E134" i="2"/>
  <c r="E119" i="2"/>
  <c r="Q117" i="2"/>
  <c r="P117" i="2" s="1"/>
  <c r="O117" i="2" s="1"/>
  <c r="Q479" i="2"/>
  <c r="P479" i="2" s="1"/>
  <c r="O479" i="2" s="1"/>
  <c r="Q478" i="2"/>
  <c r="E477" i="2"/>
  <c r="E145" i="2"/>
  <c r="Q123" i="2"/>
  <c r="P123" i="2" s="1"/>
  <c r="O123" i="2" s="1"/>
  <c r="E115" i="2"/>
  <c r="E142" i="2"/>
  <c r="Q135" i="2"/>
  <c r="P135" i="2" s="1"/>
  <c r="O135" i="2" s="1"/>
  <c r="E139" i="2"/>
  <c r="Q111" i="2"/>
  <c r="P111" i="2" s="1"/>
  <c r="O111" i="2" s="1"/>
  <c r="Q133" i="2"/>
  <c r="P133" i="2" s="1"/>
  <c r="O133" i="2" s="1"/>
  <c r="Q143" i="2"/>
  <c r="P143" i="2" s="1"/>
  <c r="O143" i="2" s="1"/>
  <c r="E141" i="2"/>
  <c r="E118" i="2"/>
  <c r="E112" i="2"/>
  <c r="E143" i="2"/>
  <c r="Q121" i="2"/>
  <c r="P121" i="2" s="1"/>
  <c r="O121" i="2" s="1"/>
  <c r="Q114" i="2"/>
  <c r="P114" i="2" s="1"/>
  <c r="O114" i="2" s="1"/>
  <c r="E124" i="2"/>
  <c r="Q115" i="2"/>
  <c r="P115" i="2" s="1"/>
  <c r="O115" i="2" s="1"/>
  <c r="Q136" i="2"/>
  <c r="P136" i="2" s="1"/>
  <c r="O136" i="2" s="1"/>
  <c r="Q122" i="2"/>
  <c r="P122" i="2" s="1"/>
  <c r="O122" i="2" s="1"/>
  <c r="E133" i="2"/>
  <c r="Q130" i="2"/>
  <c r="P130" i="2" s="1"/>
  <c r="O130" i="2" s="1"/>
  <c r="Q140" i="2"/>
  <c r="P140" i="2" s="1"/>
  <c r="O140" i="2" s="1"/>
  <c r="Q142" i="2"/>
  <c r="P142" i="2" s="1"/>
  <c r="O142" i="2" s="1"/>
  <c r="E111" i="2"/>
  <c r="Q128" i="2"/>
  <c r="P128" i="2" s="1"/>
  <c r="O128" i="2" s="1"/>
  <c r="E128" i="2"/>
  <c r="E125" i="2"/>
  <c r="E127" i="2"/>
  <c r="Q134" i="2"/>
  <c r="P134" i="2" s="1"/>
  <c r="O134" i="2" s="1"/>
  <c r="E129" i="2"/>
  <c r="Q124" i="2"/>
  <c r="P124" i="2" s="1"/>
  <c r="O124" i="2" s="1"/>
  <c r="Q141" i="2"/>
  <c r="P141" i="2" s="1"/>
  <c r="O141" i="2" s="1"/>
  <c r="E130" i="2"/>
  <c r="Q129" i="2"/>
  <c r="P129" i="2" s="1"/>
  <c r="O129" i="2" s="1"/>
  <c r="Q138" i="2"/>
  <c r="P138" i="2" s="1"/>
  <c r="O138" i="2" s="1"/>
  <c r="E479" i="2"/>
  <c r="E108" i="2"/>
  <c r="E113" i="2"/>
  <c r="E114" i="2"/>
  <c r="E110" i="2"/>
  <c r="E121" i="2"/>
  <c r="E117" i="2"/>
  <c r="E120" i="2"/>
  <c r="E109" i="2"/>
  <c r="E122" i="2"/>
  <c r="E126" i="2"/>
  <c r="E131" i="2"/>
  <c r="E123" i="2"/>
  <c r="E136" i="2"/>
  <c r="E138" i="2"/>
  <c r="E140" i="2"/>
  <c r="E132" i="2"/>
  <c r="E135" i="2"/>
  <c r="E137" i="2"/>
  <c r="Q107" i="2"/>
  <c r="P107" i="2" s="1"/>
  <c r="O107" i="2" s="1"/>
  <c r="Q116" i="2"/>
  <c r="P116" i="2" s="1"/>
  <c r="O116" i="2" s="1"/>
  <c r="Q110" i="2"/>
  <c r="P110" i="2" s="1"/>
  <c r="O110" i="2" s="1"/>
  <c r="Q113" i="2"/>
  <c r="P113" i="2" s="1"/>
  <c r="O113" i="2" s="1"/>
  <c r="Q119" i="2"/>
  <c r="P119" i="2" s="1"/>
  <c r="O119" i="2" s="1"/>
  <c r="Q132" i="2"/>
  <c r="P132" i="2" s="1"/>
  <c r="O132" i="2" s="1"/>
  <c r="Q118" i="2"/>
  <c r="P118" i="2" s="1"/>
  <c r="O118" i="2" s="1"/>
  <c r="Q127" i="2"/>
  <c r="P127" i="2" s="1"/>
  <c r="O127" i="2" s="1"/>
  <c r="Q125" i="2"/>
  <c r="P125" i="2" s="1"/>
  <c r="O125" i="2" s="1"/>
  <c r="Q120" i="2"/>
  <c r="P120" i="2" s="1"/>
  <c r="O120" i="2" s="1"/>
  <c r="Q126" i="2"/>
  <c r="P126" i="2" s="1"/>
  <c r="O126" i="2" s="1"/>
  <c r="Q131" i="2"/>
  <c r="P131" i="2" s="1"/>
  <c r="O131" i="2" s="1"/>
  <c r="Q137" i="2"/>
  <c r="P137" i="2" s="1"/>
  <c r="O137" i="2" s="1"/>
  <c r="Q139" i="2"/>
  <c r="P139" i="2" s="1"/>
  <c r="O139" i="2" s="1"/>
  <c r="Q144" i="2"/>
  <c r="P144" i="2" s="1"/>
  <c r="O144" i="2" s="1"/>
  <c r="E466" i="2"/>
  <c r="Q475" i="2"/>
  <c r="Q465" i="2"/>
  <c r="E456" i="2"/>
  <c r="Q463" i="2"/>
  <c r="P463" i="2" s="1"/>
  <c r="O463" i="2" s="1"/>
  <c r="Q476" i="2"/>
  <c r="Q477" i="2"/>
  <c r="P477" i="2" s="1"/>
  <c r="O477" i="2" s="1"/>
  <c r="E474" i="2"/>
  <c r="E230" i="2"/>
  <c r="E462" i="2"/>
  <c r="E471" i="2"/>
  <c r="E467" i="2"/>
  <c r="Q449" i="2"/>
  <c r="Q462" i="2"/>
  <c r="Q460" i="2"/>
  <c r="P460" i="2" s="1"/>
  <c r="O460" i="2" s="1"/>
  <c r="E469" i="2"/>
  <c r="Q472" i="2"/>
  <c r="E463" i="2"/>
  <c r="E472" i="2"/>
  <c r="Q456" i="2"/>
  <c r="E440" i="2"/>
  <c r="Q448" i="2"/>
  <c r="Q442" i="2"/>
  <c r="E453" i="2"/>
  <c r="Q457" i="2"/>
  <c r="P457" i="2" s="1"/>
  <c r="O457" i="2" s="1"/>
  <c r="E451" i="2"/>
  <c r="E444" i="2"/>
  <c r="Q469" i="2"/>
  <c r="P469" i="2" s="1"/>
  <c r="O469" i="2" s="1"/>
  <c r="Q467" i="2"/>
  <c r="E442" i="2"/>
  <c r="Q458" i="2"/>
  <c r="E441" i="2"/>
  <c r="E464" i="2"/>
  <c r="E448" i="2"/>
  <c r="Q461" i="2"/>
  <c r="E455" i="2"/>
  <c r="E443" i="2"/>
  <c r="Q440" i="2"/>
  <c r="Q451" i="2"/>
  <c r="Q453" i="2"/>
  <c r="Q454" i="2"/>
  <c r="P454" i="2" s="1"/>
  <c r="O454" i="2" s="1"/>
  <c r="E445" i="2"/>
  <c r="Q444" i="2"/>
  <c r="P444" i="2" s="1"/>
  <c r="O444" i="2" s="1"/>
  <c r="E439" i="2"/>
  <c r="Q437" i="2"/>
  <c r="Q436" i="2"/>
  <c r="E459" i="2"/>
  <c r="Q445" i="2"/>
  <c r="E475" i="2"/>
  <c r="Q459" i="2"/>
  <c r="P459" i="2" s="1"/>
  <c r="O459" i="2" s="1"/>
  <c r="Q471" i="2"/>
  <c r="Q452" i="2"/>
  <c r="P452" i="2" s="1"/>
  <c r="O452" i="2" s="1"/>
  <c r="Q438" i="2"/>
  <c r="P438" i="2" s="1"/>
  <c r="O438" i="2" s="1"/>
  <c r="Q450" i="2"/>
  <c r="Q474" i="2"/>
  <c r="Q468" i="2"/>
  <c r="Q230" i="2"/>
  <c r="E460" i="2"/>
  <c r="Q473" i="2"/>
  <c r="E461" i="2"/>
  <c r="Q470" i="2"/>
  <c r="E438" i="2"/>
  <c r="Q447" i="2"/>
  <c r="Q443" i="2"/>
  <c r="Q439" i="2"/>
  <c r="E446" i="2"/>
  <c r="E478" i="2"/>
  <c r="Q466" i="2"/>
  <c r="E476" i="2"/>
  <c r="E465" i="2"/>
  <c r="E436" i="2"/>
  <c r="E449" i="2"/>
  <c r="E468" i="2"/>
  <c r="Q446" i="2"/>
  <c r="E437" i="2"/>
  <c r="E473" i="2"/>
  <c r="E454" i="2"/>
  <c r="E447" i="2"/>
  <c r="E470" i="2"/>
  <c r="E450" i="2"/>
  <c r="E458" i="2"/>
  <c r="Q455" i="2"/>
  <c r="P455" i="2" s="1"/>
  <c r="O455" i="2" s="1"/>
  <c r="Q441" i="2"/>
  <c r="Q464" i="2"/>
  <c r="E457" i="2"/>
  <c r="E452" i="2"/>
  <c r="Q359" i="2"/>
  <c r="Q426" i="2"/>
  <c r="Q199" i="2"/>
  <c r="Q174" i="2"/>
  <c r="Q396" i="2"/>
  <c r="Q211" i="2"/>
  <c r="E388" i="2"/>
  <c r="Q218" i="2"/>
  <c r="Q181" i="2"/>
  <c r="E359" i="2"/>
  <c r="E376" i="2"/>
  <c r="Q365" i="2"/>
  <c r="Q431" i="2"/>
  <c r="Q422" i="2"/>
  <c r="Q348" i="2"/>
  <c r="Q219" i="2"/>
  <c r="Q200" i="2"/>
  <c r="Q388" i="2"/>
  <c r="Q363" i="2"/>
  <c r="E428" i="2"/>
  <c r="Q217" i="2"/>
  <c r="Q178" i="2"/>
  <c r="Q216" i="2"/>
  <c r="Q424" i="2"/>
  <c r="Q373" i="2"/>
  <c r="Q173" i="2"/>
  <c r="Q393" i="2"/>
  <c r="E379" i="2"/>
  <c r="Q429" i="2"/>
  <c r="Q425" i="2"/>
  <c r="E190" i="2"/>
  <c r="Q180" i="2"/>
  <c r="Q342" i="2"/>
  <c r="Q235" i="2"/>
  <c r="Q179" i="2"/>
  <c r="Q399" i="2"/>
  <c r="Q387" i="2"/>
  <c r="Q202" i="2"/>
  <c r="Q212" i="2"/>
  <c r="Q207" i="2"/>
  <c r="Q226" i="2"/>
  <c r="Q208" i="2"/>
  <c r="E435" i="2"/>
  <c r="Q432" i="2"/>
  <c r="Q403" i="2"/>
  <c r="Q237" i="2"/>
  <c r="Q206" i="2"/>
  <c r="Q193" i="2"/>
  <c r="E191" i="2"/>
  <c r="E188" i="2"/>
  <c r="Q354" i="2"/>
  <c r="Q392" i="2"/>
  <c r="Q390" i="2"/>
  <c r="Q398" i="2"/>
  <c r="Q384" i="2"/>
  <c r="Q361" i="2"/>
  <c r="Q381" i="2"/>
  <c r="Q376" i="2"/>
  <c r="Q358" i="2"/>
  <c r="Q225" i="2"/>
  <c r="Q191" i="2"/>
  <c r="Q222" i="2"/>
  <c r="Q195" i="2"/>
  <c r="Q197" i="2"/>
  <c r="Q194" i="2"/>
  <c r="Q430" i="2"/>
  <c r="Q395" i="2"/>
  <c r="Q340" i="2"/>
  <c r="Q362" i="2"/>
  <c r="Q353" i="2"/>
  <c r="Q341" i="2"/>
  <c r="Q364" i="2"/>
  <c r="Q397" i="2"/>
  <c r="Q351" i="2"/>
  <c r="Q356" i="2"/>
  <c r="E365" i="2"/>
  <c r="Q374" i="2"/>
  <c r="Q371" i="2"/>
  <c r="Q401" i="2"/>
  <c r="Q402" i="2"/>
  <c r="Q380" i="2"/>
  <c r="Q383" i="2"/>
  <c r="Q343" i="2"/>
  <c r="E366" i="2"/>
  <c r="Q367" i="2"/>
  <c r="Q404" i="2"/>
  <c r="P404" i="2" s="1"/>
  <c r="Q400" i="2"/>
  <c r="E370" i="2"/>
  <c r="E362" i="2"/>
  <c r="Q366" i="2"/>
  <c r="Q227" i="2"/>
  <c r="Q185" i="2"/>
  <c r="Q233" i="2"/>
  <c r="Q223" i="2"/>
  <c r="E196" i="2"/>
  <c r="E227" i="2"/>
  <c r="E186" i="2"/>
  <c r="Q184" i="2"/>
  <c r="E198" i="2"/>
  <c r="Q214" i="2"/>
  <c r="Q229" i="2"/>
  <c r="Q204" i="2"/>
  <c r="Q175" i="2"/>
  <c r="Q186" i="2"/>
  <c r="Q238" i="2"/>
  <c r="P238" i="2" s="1"/>
  <c r="Q232" i="2"/>
  <c r="Q236" i="2"/>
  <c r="Q183" i="2"/>
  <c r="Q177" i="2"/>
  <c r="Q188" i="2"/>
  <c r="Q433" i="2"/>
  <c r="Q428" i="2"/>
  <c r="E431" i="2"/>
  <c r="Q435" i="2"/>
  <c r="Q423" i="2"/>
  <c r="Q427" i="2"/>
  <c r="Q434" i="2"/>
  <c r="Q352" i="2"/>
  <c r="Q378" i="2"/>
  <c r="E372" i="2"/>
  <c r="Q370" i="2"/>
  <c r="Q379" i="2"/>
  <c r="Q377" i="2"/>
  <c r="E361" i="2"/>
  <c r="Q347" i="2"/>
  <c r="Q385" i="2"/>
  <c r="Q394" i="2"/>
  <c r="Q375" i="2"/>
  <c r="Q389" i="2"/>
  <c r="Q360" i="2"/>
  <c r="Q372" i="2"/>
  <c r="Q357" i="2"/>
  <c r="E373" i="2"/>
  <c r="E367" i="2"/>
  <c r="Q382" i="2"/>
  <c r="Q339" i="2"/>
  <c r="Q391" i="2"/>
  <c r="E363" i="2"/>
  <c r="E364" i="2"/>
  <c r="Q368" i="2"/>
  <c r="Q344" i="2"/>
  <c r="Q345" i="2"/>
  <c r="Q350" i="2"/>
  <c r="E368" i="2"/>
  <c r="E369" i="2"/>
  <c r="Q346" i="2"/>
  <c r="Q355" i="2"/>
  <c r="Q349" i="2"/>
  <c r="Q386" i="2"/>
  <c r="E371" i="2"/>
  <c r="E374" i="2"/>
  <c r="Q369" i="2"/>
  <c r="Q215" i="2"/>
  <c r="Q187" i="2"/>
  <c r="Q176" i="2"/>
  <c r="E193" i="2"/>
  <c r="E195" i="2"/>
  <c r="Q190" i="2"/>
  <c r="Q231" i="2"/>
  <c r="Q182" i="2"/>
  <c r="Q196" i="2"/>
  <c r="Q189" i="2"/>
  <c r="E192" i="2"/>
  <c r="Q224" i="2"/>
  <c r="E189" i="2"/>
  <c r="Q213" i="2"/>
  <c r="Q209" i="2"/>
  <c r="Q221" i="2"/>
  <c r="Q201" i="2"/>
  <c r="E194" i="2"/>
  <c r="Q228" i="2"/>
  <c r="Q203" i="2"/>
  <c r="Q205" i="2"/>
  <c r="Q220" i="2"/>
  <c r="Q234" i="2"/>
  <c r="Q198" i="2"/>
  <c r="E199" i="2"/>
  <c r="E187" i="2"/>
  <c r="Q210" i="2"/>
  <c r="Q172" i="2"/>
  <c r="Q192" i="2"/>
  <c r="E197" i="2"/>
  <c r="E360" i="2"/>
  <c r="E340" i="2"/>
  <c r="E173" i="2"/>
  <c r="E350" i="2"/>
  <c r="E183" i="2"/>
  <c r="E398" i="2"/>
  <c r="E226" i="2"/>
  <c r="E397" i="2"/>
  <c r="E355" i="2"/>
  <c r="E184" i="2"/>
  <c r="E181" i="2"/>
  <c r="O240" i="2"/>
  <c r="E178" i="2"/>
  <c r="E433" i="2"/>
  <c r="E427" i="2"/>
  <c r="E342" i="2"/>
  <c r="E377" i="2"/>
  <c r="E217" i="2"/>
  <c r="E182" i="2"/>
  <c r="E339" i="2"/>
  <c r="E353" i="2"/>
  <c r="E383" i="2"/>
  <c r="E349" i="2"/>
  <c r="E209" i="2"/>
  <c r="E234" i="2"/>
  <c r="E422" i="2"/>
  <c r="E175" i="2"/>
  <c r="E385" i="2"/>
  <c r="E386" i="2"/>
  <c r="E389" i="2"/>
  <c r="E237" i="2"/>
  <c r="E211" i="2"/>
  <c r="E204" i="2"/>
  <c r="E395" i="2"/>
  <c r="E405" i="2"/>
  <c r="E346" i="2"/>
  <c r="E404" i="2"/>
  <c r="E185" i="2"/>
  <c r="E202" i="2"/>
  <c r="E393" i="2"/>
  <c r="E426" i="2"/>
  <c r="E423" i="2"/>
  <c r="E424" i="2"/>
  <c r="E387" i="2"/>
  <c r="E356" i="2"/>
  <c r="E396" i="2"/>
  <c r="E402" i="2"/>
  <c r="E341" i="2"/>
  <c r="E343" i="2"/>
  <c r="E354" i="2"/>
  <c r="E407" i="2"/>
  <c r="E384" i="2"/>
  <c r="E375" i="2"/>
  <c r="E208" i="2"/>
  <c r="E177" i="2"/>
  <c r="E241" i="2"/>
  <c r="E231" i="2"/>
  <c r="E236" i="2"/>
  <c r="E180" i="2"/>
  <c r="E176" i="2"/>
  <c r="E212" i="2"/>
  <c r="E214" i="2"/>
  <c r="E223" i="2"/>
  <c r="E200" i="2"/>
  <c r="E205" i="2"/>
  <c r="E434" i="2"/>
  <c r="E425" i="2"/>
  <c r="E430" i="2"/>
  <c r="E432" i="2"/>
  <c r="E429" i="2"/>
  <c r="E348" i="2"/>
  <c r="E351" i="2"/>
  <c r="E390" i="2"/>
  <c r="E406" i="2"/>
  <c r="E357" i="2"/>
  <c r="E400" i="2"/>
  <c r="E344" i="2"/>
  <c r="E358" i="2"/>
  <c r="E352" i="2"/>
  <c r="E403" i="2"/>
  <c r="E378" i="2"/>
  <c r="E392" i="2"/>
  <c r="E394" i="2"/>
  <c r="E401" i="2"/>
  <c r="E345" i="2"/>
  <c r="E380" i="2"/>
  <c r="E399" i="2"/>
  <c r="E347" i="2"/>
  <c r="E382" i="2"/>
  <c r="E381" i="2"/>
  <c r="E391" i="2"/>
  <c r="E219" i="2"/>
  <c r="E238" i="2"/>
  <c r="E221" i="2"/>
  <c r="E179" i="2"/>
  <c r="E232" i="2"/>
  <c r="E206" i="2"/>
  <c r="E207" i="2"/>
  <c r="E224" i="2"/>
  <c r="E233" i="2"/>
  <c r="E235" i="2"/>
  <c r="E220" i="2"/>
  <c r="E228" i="2"/>
  <c r="E229" i="2"/>
  <c r="E210" i="2"/>
  <c r="E225" i="2"/>
  <c r="E215" i="2"/>
  <c r="E240" i="2"/>
  <c r="E203" i="2"/>
  <c r="E201" i="2"/>
  <c r="E222" i="2"/>
  <c r="E239" i="2"/>
  <c r="E216" i="2"/>
  <c r="E174" i="2"/>
  <c r="E218" i="2"/>
  <c r="E213" i="2"/>
  <c r="E172" i="2"/>
  <c r="D4" i="1"/>
  <c r="C2" i="2"/>
  <c r="W75" i="2"/>
  <c r="X75" i="2"/>
  <c r="AA75" i="2"/>
  <c r="AB75" i="2"/>
  <c r="AC75" i="2"/>
  <c r="AD75" i="2"/>
  <c r="AF75" i="2"/>
  <c r="AG75" i="2"/>
  <c r="AH75" i="2"/>
  <c r="AJ75" i="2"/>
  <c r="AK75" i="2"/>
  <c r="AL75" i="2"/>
  <c r="C86" i="2"/>
  <c r="C170" i="2"/>
  <c r="C254" i="2"/>
  <c r="C337" i="2"/>
  <c r="C420" i="2"/>
  <c r="D481" i="2" l="1"/>
  <c r="B481" i="2" s="1"/>
  <c r="C481" i="2" s="1"/>
  <c r="D480" i="2"/>
  <c r="B480" i="2" s="1"/>
  <c r="C480" i="2" s="1"/>
  <c r="D477" i="2"/>
  <c r="B477" i="2" s="1"/>
  <c r="C477" i="2" s="1"/>
  <c r="Y75" i="2"/>
  <c r="D123" i="2"/>
  <c r="B123" i="2" s="1"/>
  <c r="C123" i="2" s="1"/>
  <c r="D137" i="2"/>
  <c r="B137" i="2" s="1"/>
  <c r="C137" i="2" s="1"/>
  <c r="D144" i="2"/>
  <c r="B144" i="2" s="1"/>
  <c r="C144" i="2" s="1"/>
  <c r="D145" i="2"/>
  <c r="B145" i="2" s="1"/>
  <c r="C145" i="2" s="1"/>
  <c r="D143" i="2"/>
  <c r="B143" i="2" s="1"/>
  <c r="C143" i="2" s="1"/>
  <c r="D479" i="2"/>
  <c r="B479" i="2" s="1"/>
  <c r="C479" i="2" s="1"/>
  <c r="D135" i="2"/>
  <c r="B135" i="2" s="1"/>
  <c r="C135" i="2" s="1"/>
  <c r="D141" i="2"/>
  <c r="B141" i="2" s="1"/>
  <c r="C141" i="2" s="1"/>
  <c r="D139" i="2"/>
  <c r="B139" i="2" s="1"/>
  <c r="C139" i="2" s="1"/>
  <c r="D132" i="2"/>
  <c r="B132" i="2" s="1"/>
  <c r="C132" i="2" s="1"/>
  <c r="D130" i="2"/>
  <c r="B130" i="2" s="1"/>
  <c r="C130" i="2" s="1"/>
  <c r="D138" i="2"/>
  <c r="B138" i="2" s="1"/>
  <c r="C138" i="2" s="1"/>
  <c r="D136" i="2"/>
  <c r="B136" i="2" s="1"/>
  <c r="C136" i="2" s="1"/>
  <c r="D131" i="2"/>
  <c r="B131" i="2" s="1"/>
  <c r="C131" i="2" s="1"/>
  <c r="D134" i="2"/>
  <c r="B134" i="2" s="1"/>
  <c r="C134" i="2" s="1"/>
  <c r="D126" i="2"/>
  <c r="B126" i="2" s="1"/>
  <c r="C126" i="2" s="1"/>
  <c r="D133" i="2"/>
  <c r="B133" i="2" s="1"/>
  <c r="C133" i="2" s="1"/>
  <c r="D128" i="2"/>
  <c r="B128" i="2" s="1"/>
  <c r="C128" i="2" s="1"/>
  <c r="D125" i="2"/>
  <c r="B125" i="2" s="1"/>
  <c r="C125" i="2" s="1"/>
  <c r="D127" i="2"/>
  <c r="B127" i="2" s="1"/>
  <c r="C127" i="2" s="1"/>
  <c r="D129" i="2"/>
  <c r="B129" i="2" s="1"/>
  <c r="C129" i="2" s="1"/>
  <c r="D122" i="2"/>
  <c r="B122" i="2" s="1"/>
  <c r="C122" i="2" s="1"/>
  <c r="D124" i="2"/>
  <c r="B124" i="2" s="1"/>
  <c r="C124" i="2" s="1"/>
  <c r="D115" i="2"/>
  <c r="B115" i="2" s="1"/>
  <c r="C115" i="2" s="1"/>
  <c r="D116" i="2"/>
  <c r="B116" i="2" s="1"/>
  <c r="C116" i="2" s="1"/>
  <c r="D120" i="2"/>
  <c r="B120" i="2" s="1"/>
  <c r="C120" i="2" s="1"/>
  <c r="D117" i="2"/>
  <c r="B117" i="2" s="1"/>
  <c r="C117" i="2" s="1"/>
  <c r="D119" i="2"/>
  <c r="B119" i="2" s="1"/>
  <c r="C119" i="2" s="1"/>
  <c r="D118" i="2"/>
  <c r="B118" i="2" s="1"/>
  <c r="C118" i="2" s="1"/>
  <c r="D121" i="2"/>
  <c r="B121" i="2" s="1"/>
  <c r="C121" i="2" s="1"/>
  <c r="D114" i="2"/>
  <c r="B114" i="2" s="1"/>
  <c r="C114" i="2" s="1"/>
  <c r="D474" i="2"/>
  <c r="B474" i="2" s="1"/>
  <c r="C474" i="2" s="1"/>
  <c r="D478" i="2"/>
  <c r="B478" i="2" s="1"/>
  <c r="C478" i="2" s="1"/>
  <c r="D466" i="2"/>
  <c r="B466" i="2" s="1"/>
  <c r="C466" i="2" s="1"/>
  <c r="D464" i="2"/>
  <c r="B464" i="2" s="1"/>
  <c r="C464" i="2" s="1"/>
  <c r="D467" i="2"/>
  <c r="B467" i="2" s="1"/>
  <c r="C467" i="2" s="1"/>
  <c r="D458" i="2"/>
  <c r="B458" i="2" s="1"/>
  <c r="C458" i="2" s="1"/>
  <c r="D473" i="2"/>
  <c r="B473" i="2" s="1"/>
  <c r="C473" i="2" s="1"/>
  <c r="D446" i="2"/>
  <c r="B446" i="2" s="1"/>
  <c r="C446" i="2" s="1"/>
  <c r="D442" i="2"/>
  <c r="B442" i="2" s="1"/>
  <c r="C442" i="2" s="1"/>
  <c r="D454" i="2"/>
  <c r="B454" i="2" s="1"/>
  <c r="C454" i="2" s="1"/>
  <c r="D437" i="2"/>
  <c r="B437" i="2" s="1"/>
  <c r="C437" i="2" s="1"/>
  <c r="D182" i="2"/>
  <c r="B182" i="2" s="1"/>
  <c r="C182" i="2" s="1"/>
  <c r="P476" i="2"/>
  <c r="O476" i="2" s="1"/>
  <c r="D461" i="2"/>
  <c r="B461" i="2" s="1"/>
  <c r="C461" i="2" s="1"/>
  <c r="D472" i="2"/>
  <c r="B472" i="2" s="1"/>
  <c r="C472" i="2" s="1"/>
  <c r="P475" i="2"/>
  <c r="O475" i="2" s="1"/>
  <c r="D475" i="2"/>
  <c r="B475" i="2" s="1"/>
  <c r="C475" i="2" s="1"/>
  <c r="P448" i="2"/>
  <c r="O448" i="2" s="1"/>
  <c r="P440" i="2"/>
  <c r="O440" i="2" s="1"/>
  <c r="D440" i="2"/>
  <c r="B440" i="2" s="1"/>
  <c r="C440" i="2" s="1"/>
  <c r="D456" i="2"/>
  <c r="B456" i="2" s="1"/>
  <c r="C456" i="2" s="1"/>
  <c r="D441" i="2"/>
  <c r="B441" i="2" s="1"/>
  <c r="C441" i="2" s="1"/>
  <c r="D447" i="2"/>
  <c r="B447" i="2" s="1"/>
  <c r="C447" i="2" s="1"/>
  <c r="D450" i="2"/>
  <c r="B450" i="2" s="1"/>
  <c r="C450" i="2" s="1"/>
  <c r="D445" i="2"/>
  <c r="B445" i="2" s="1"/>
  <c r="C445" i="2" s="1"/>
  <c r="P447" i="2"/>
  <c r="O447" i="2" s="1"/>
  <c r="P445" i="2"/>
  <c r="O445" i="2" s="1"/>
  <c r="D463" i="2"/>
  <c r="B463" i="2" s="1"/>
  <c r="C463" i="2" s="1"/>
  <c r="P465" i="2"/>
  <c r="O465" i="2" s="1"/>
  <c r="D457" i="2"/>
  <c r="B457" i="2" s="1"/>
  <c r="C457" i="2" s="1"/>
  <c r="D470" i="2"/>
  <c r="B470" i="2" s="1"/>
  <c r="C470" i="2" s="1"/>
  <c r="P472" i="2"/>
  <c r="O472" i="2" s="1"/>
  <c r="D471" i="2"/>
  <c r="B471" i="2" s="1"/>
  <c r="C471" i="2" s="1"/>
  <c r="D451" i="2"/>
  <c r="B451" i="2" s="1"/>
  <c r="C451" i="2" s="1"/>
  <c r="D449" i="2"/>
  <c r="B449" i="2" s="1"/>
  <c r="C449" i="2" s="1"/>
  <c r="D460" i="2"/>
  <c r="B460" i="2" s="1"/>
  <c r="C460" i="2" s="1"/>
  <c r="D438" i="2"/>
  <c r="B438" i="2" s="1"/>
  <c r="C438" i="2" s="1"/>
  <c r="P462" i="2"/>
  <c r="O462" i="2" s="1"/>
  <c r="D459" i="2"/>
  <c r="B459" i="2" s="1"/>
  <c r="C459" i="2" s="1"/>
  <c r="D443" i="2"/>
  <c r="B443" i="2" s="1"/>
  <c r="C443" i="2" s="1"/>
  <c r="P441" i="2"/>
  <c r="O441" i="2" s="1"/>
  <c r="D436" i="2"/>
  <c r="B436" i="2" s="1"/>
  <c r="C436" i="2" s="1"/>
  <c r="P461" i="2"/>
  <c r="O461" i="2" s="1"/>
  <c r="P230" i="2"/>
  <c r="O230" i="2" s="1"/>
  <c r="P451" i="2"/>
  <c r="O451" i="2" s="1"/>
  <c r="D465" i="2"/>
  <c r="B465" i="2" s="1"/>
  <c r="C465" i="2" s="1"/>
  <c r="D476" i="2"/>
  <c r="B476" i="2" s="1"/>
  <c r="C476" i="2" s="1"/>
  <c r="D462" i="2"/>
  <c r="B462" i="2" s="1"/>
  <c r="C462" i="2" s="1"/>
  <c r="P470" i="2"/>
  <c r="O470" i="2" s="1"/>
  <c r="P474" i="2"/>
  <c r="O474" i="2" s="1"/>
  <c r="D455" i="2"/>
  <c r="B455" i="2" s="1"/>
  <c r="C455" i="2" s="1"/>
  <c r="P473" i="2"/>
  <c r="O473" i="2" s="1"/>
  <c r="P466" i="2"/>
  <c r="O466" i="2" s="1"/>
  <c r="D453" i="2"/>
  <c r="B453" i="2" s="1"/>
  <c r="C453" i="2" s="1"/>
  <c r="P456" i="2"/>
  <c r="O456" i="2" s="1"/>
  <c r="D439" i="2"/>
  <c r="B439" i="2" s="1"/>
  <c r="C439" i="2" s="1"/>
  <c r="P453" i="2"/>
  <c r="O453" i="2" s="1"/>
  <c r="P446" i="2"/>
  <c r="O446" i="2" s="1"/>
  <c r="P478" i="2"/>
  <c r="O478" i="2" s="1"/>
  <c r="D452" i="2"/>
  <c r="B452" i="2" s="1"/>
  <c r="C452" i="2" s="1"/>
  <c r="P464" i="2"/>
  <c r="O464" i="2" s="1"/>
  <c r="D230" i="2"/>
  <c r="B230" i="2" s="1"/>
  <c r="C230" i="2" s="1"/>
  <c r="P437" i="2"/>
  <c r="O437" i="2" s="1"/>
  <c r="P450" i="2"/>
  <c r="O450" i="2" s="1"/>
  <c r="P449" i="2"/>
  <c r="O449" i="2" s="1"/>
  <c r="D469" i="2"/>
  <c r="B469" i="2" s="1"/>
  <c r="C469" i="2" s="1"/>
  <c r="D448" i="2"/>
  <c r="B448" i="2" s="1"/>
  <c r="C448" i="2" s="1"/>
  <c r="P471" i="2"/>
  <c r="O471" i="2" s="1"/>
  <c r="P439" i="2"/>
  <c r="O439" i="2" s="1"/>
  <c r="D468" i="2"/>
  <c r="B468" i="2" s="1"/>
  <c r="C468" i="2" s="1"/>
  <c r="D444" i="2"/>
  <c r="B444" i="2" s="1"/>
  <c r="C444" i="2" s="1"/>
  <c r="P443" i="2"/>
  <c r="O443" i="2" s="1"/>
  <c r="P458" i="2"/>
  <c r="O458" i="2" s="1"/>
  <c r="P442" i="2"/>
  <c r="O442" i="2" s="1"/>
  <c r="P467" i="2"/>
  <c r="O467" i="2" s="1"/>
  <c r="P468" i="2"/>
  <c r="O468" i="2" s="1"/>
  <c r="P436" i="2"/>
  <c r="O436" i="2" s="1"/>
  <c r="D196" i="2"/>
  <c r="B196" i="2" s="1"/>
  <c r="C196" i="2" s="1"/>
  <c r="D373" i="2"/>
  <c r="B373" i="2" s="1"/>
  <c r="C373" i="2" s="1"/>
  <c r="D370" i="2"/>
  <c r="B370" i="2" s="1"/>
  <c r="C370" i="2" s="1"/>
  <c r="D366" i="2"/>
  <c r="B366" i="2" s="1"/>
  <c r="C366" i="2" s="1"/>
  <c r="D365" i="2"/>
  <c r="B365" i="2" s="1"/>
  <c r="C365" i="2" s="1"/>
  <c r="D193" i="2"/>
  <c r="B193" i="2" s="1"/>
  <c r="C193" i="2" s="1"/>
  <c r="D191" i="2"/>
  <c r="B191" i="2" s="1"/>
  <c r="C191" i="2" s="1"/>
  <c r="D189" i="2"/>
  <c r="B189" i="2" s="1"/>
  <c r="C189" i="2" s="1"/>
  <c r="D374" i="2"/>
  <c r="B374" i="2" s="1"/>
  <c r="C374" i="2" s="1"/>
  <c r="D371" i="2"/>
  <c r="B371" i="2" s="1"/>
  <c r="C371" i="2" s="1"/>
  <c r="D362" i="2"/>
  <c r="B362" i="2" s="1"/>
  <c r="C362" i="2" s="1"/>
  <c r="D364" i="2"/>
  <c r="B364" i="2" s="1"/>
  <c r="C364" i="2" s="1"/>
  <c r="D363" i="2"/>
  <c r="B363" i="2" s="1"/>
  <c r="C363" i="2" s="1"/>
  <c r="D361" i="2"/>
  <c r="B361" i="2" s="1"/>
  <c r="C361" i="2" s="1"/>
  <c r="D372" i="2"/>
  <c r="B372" i="2" s="1"/>
  <c r="C372" i="2" s="1"/>
  <c r="D369" i="2"/>
  <c r="B369" i="2" s="1"/>
  <c r="C369" i="2" s="1"/>
  <c r="D368" i="2"/>
  <c r="B368" i="2" s="1"/>
  <c r="C368" i="2" s="1"/>
  <c r="D367" i="2"/>
  <c r="B367" i="2" s="1"/>
  <c r="C367" i="2" s="1"/>
  <c r="D190" i="2"/>
  <c r="B190" i="2" s="1"/>
  <c r="C190" i="2" s="1"/>
  <c r="D188" i="2"/>
  <c r="B188" i="2" s="1"/>
  <c r="C188" i="2" s="1"/>
  <c r="D194" i="2"/>
  <c r="B194" i="2" s="1"/>
  <c r="C194" i="2" s="1"/>
  <c r="D192" i="2"/>
  <c r="B192" i="2" s="1"/>
  <c r="C192" i="2" s="1"/>
  <c r="D195" i="2"/>
  <c r="B195" i="2" s="1"/>
  <c r="C195" i="2" s="1"/>
  <c r="D197" i="2"/>
  <c r="B197" i="2" s="1"/>
  <c r="C197" i="2" s="1"/>
  <c r="D187" i="2"/>
  <c r="B187" i="2" s="1"/>
  <c r="C187" i="2" s="1"/>
  <c r="D186" i="2"/>
  <c r="B186" i="2" s="1"/>
  <c r="C186" i="2" s="1"/>
  <c r="D198" i="2"/>
  <c r="B198" i="2" s="1"/>
  <c r="C198" i="2" s="1"/>
  <c r="D199" i="2"/>
  <c r="B199" i="2" s="1"/>
  <c r="C199" i="2" s="1"/>
  <c r="O241" i="2"/>
  <c r="O406" i="2"/>
  <c r="O407" i="2"/>
  <c r="D434" i="2"/>
  <c r="B434" i="2" s="1"/>
  <c r="C434" i="2" s="1"/>
  <c r="D350" i="2"/>
  <c r="B350" i="2" s="1"/>
  <c r="C350" i="2" s="1"/>
  <c r="D216" i="2"/>
  <c r="B216" i="2" s="1"/>
  <c r="C216" i="2" s="1"/>
  <c r="F100" i="2"/>
  <c r="F104" i="2"/>
  <c r="G96" i="2"/>
  <c r="F106" i="2"/>
  <c r="G99" i="2"/>
  <c r="F92" i="2"/>
  <c r="F105" i="2"/>
  <c r="F90" i="2"/>
  <c r="G88" i="2"/>
  <c r="F99" i="2"/>
  <c r="F103" i="2"/>
  <c r="G89" i="2"/>
  <c r="F91" i="2"/>
  <c r="F102" i="2"/>
  <c r="F96" i="2"/>
  <c r="G91" i="2"/>
  <c r="F94" i="2"/>
  <c r="G94" i="2"/>
  <c r="G90" i="2"/>
  <c r="G97" i="2"/>
  <c r="F97" i="2"/>
  <c r="G98" i="2"/>
  <c r="F89" i="2"/>
  <c r="G103" i="2"/>
  <c r="G106" i="2"/>
  <c r="G102" i="2"/>
  <c r="F88" i="2"/>
  <c r="F93" i="2"/>
  <c r="G105" i="2"/>
  <c r="G95" i="2"/>
  <c r="F98" i="2"/>
  <c r="G100" i="2"/>
  <c r="G104" i="2"/>
  <c r="G93" i="2"/>
  <c r="G92" i="2"/>
  <c r="G101" i="2"/>
  <c r="F101" i="2"/>
  <c r="D212" i="2"/>
  <c r="B212" i="2" s="1"/>
  <c r="C212" i="2" s="1"/>
  <c r="D231" i="2"/>
  <c r="B231" i="2" s="1"/>
  <c r="C231" i="2" s="1"/>
  <c r="D200" i="2"/>
  <c r="B200" i="2" s="1"/>
  <c r="C200" i="2" s="1"/>
  <c r="D213" i="2"/>
  <c r="B213" i="2" s="1"/>
  <c r="C213" i="2" s="1"/>
  <c r="D183" i="2"/>
  <c r="B183" i="2" s="1"/>
  <c r="C183" i="2" s="1"/>
  <c r="D394" i="2"/>
  <c r="B394" i="2" s="1"/>
  <c r="C394" i="2" s="1"/>
  <c r="D223" i="2"/>
  <c r="B223" i="2" s="1"/>
  <c r="C223" i="2" s="1"/>
  <c r="D386" i="2"/>
  <c r="B386" i="2" s="1"/>
  <c r="C386" i="2" s="1"/>
  <c r="D385" i="2"/>
  <c r="B385" i="2" s="1"/>
  <c r="C385" i="2" s="1"/>
  <c r="O239" i="2"/>
  <c r="D220" i="2"/>
  <c r="B220" i="2" s="1"/>
  <c r="C220" i="2" s="1"/>
  <c r="D203" i="2"/>
  <c r="B203" i="2" s="1"/>
  <c r="C203" i="2" s="1"/>
  <c r="S88" i="2"/>
  <c r="S99" i="2"/>
  <c r="R96" i="2"/>
  <c r="S95" i="2"/>
  <c r="R88" i="2"/>
  <c r="R105" i="2"/>
  <c r="R99" i="2"/>
  <c r="R92" i="2"/>
  <c r="S93" i="2"/>
  <c r="S89" i="2"/>
  <c r="S98" i="2"/>
  <c r="R106" i="2"/>
  <c r="S102" i="2"/>
  <c r="R100" i="2"/>
  <c r="S91" i="2"/>
  <c r="R103" i="2"/>
  <c r="R102" i="2"/>
  <c r="S100" i="2"/>
  <c r="S90" i="2"/>
  <c r="Q90" i="2" s="1"/>
  <c r="R94" i="2"/>
  <c r="S103" i="2"/>
  <c r="R98" i="2"/>
  <c r="S97" i="2"/>
  <c r="S92" i="2"/>
  <c r="R89" i="2"/>
  <c r="S96" i="2"/>
  <c r="R104" i="2"/>
  <c r="R97" i="2"/>
  <c r="S106" i="2"/>
  <c r="R101" i="2"/>
  <c r="S104" i="2"/>
  <c r="S101" i="2"/>
  <c r="S105" i="2"/>
  <c r="S94" i="2"/>
  <c r="R95" i="2"/>
  <c r="R91" i="2"/>
  <c r="R93" i="2"/>
  <c r="D381" i="2"/>
  <c r="B381" i="2" s="1"/>
  <c r="C381" i="2" s="1"/>
  <c r="D354" i="2"/>
  <c r="B354" i="2" s="1"/>
  <c r="C354" i="2" s="1"/>
  <c r="D356" i="2"/>
  <c r="B356" i="2" s="1"/>
  <c r="C356" i="2" s="1"/>
  <c r="D378" i="2"/>
  <c r="B378" i="2" s="1"/>
  <c r="C378" i="2" s="1"/>
  <c r="D397" i="2"/>
  <c r="B397" i="2" s="1"/>
  <c r="C397" i="2" s="1"/>
  <c r="D382" i="2"/>
  <c r="B382" i="2" s="1"/>
  <c r="C382" i="2" s="1"/>
  <c r="D391" i="2"/>
  <c r="B391" i="2" s="1"/>
  <c r="C391" i="2" s="1"/>
  <c r="O405" i="2"/>
  <c r="D226" i="2"/>
  <c r="B226" i="2" s="1"/>
  <c r="C226" i="2" s="1"/>
  <c r="D236" i="2"/>
  <c r="B236" i="2" s="1"/>
  <c r="C236" i="2" s="1"/>
  <c r="D240" i="2"/>
  <c r="B240" i="2" s="1"/>
  <c r="C240" i="2" s="1"/>
  <c r="D217" i="2"/>
  <c r="B217" i="2" s="1"/>
  <c r="C217" i="2" s="1"/>
  <c r="D229" i="2"/>
  <c r="B229" i="2" s="1"/>
  <c r="C229" i="2" s="1"/>
  <c r="O238" i="2"/>
  <c r="D176" i="2"/>
  <c r="B176" i="2" s="1"/>
  <c r="C176" i="2" s="1"/>
  <c r="D173" i="2"/>
  <c r="B173" i="2" s="1"/>
  <c r="C173" i="2" s="1"/>
  <c r="D206" i="2"/>
  <c r="B206" i="2" s="1"/>
  <c r="C206" i="2" s="1"/>
  <c r="D430" i="2"/>
  <c r="B430" i="2" s="1"/>
  <c r="C430" i="2" s="1"/>
  <c r="D435" i="2"/>
  <c r="B435" i="2" s="1"/>
  <c r="C435" i="2" s="1"/>
  <c r="D432" i="2"/>
  <c r="B432" i="2" s="1"/>
  <c r="C432" i="2" s="1"/>
  <c r="D426" i="2"/>
  <c r="B426" i="2" s="1"/>
  <c r="C426" i="2" s="1"/>
  <c r="D423" i="2"/>
  <c r="B423" i="2" s="1"/>
  <c r="C423" i="2" s="1"/>
  <c r="D433" i="2"/>
  <c r="B433" i="2" s="1"/>
  <c r="C433" i="2" s="1"/>
  <c r="D427" i="2"/>
  <c r="B427" i="2" s="1"/>
  <c r="C427" i="2" s="1"/>
  <c r="D431" i="2"/>
  <c r="B431" i="2" s="1"/>
  <c r="C431" i="2" s="1"/>
  <c r="D425" i="2"/>
  <c r="B425" i="2" s="1"/>
  <c r="C425" i="2" s="1"/>
  <c r="D428" i="2"/>
  <c r="B428" i="2" s="1"/>
  <c r="C428" i="2" s="1"/>
  <c r="D429" i="2"/>
  <c r="B429" i="2" s="1"/>
  <c r="C429" i="2" s="1"/>
  <c r="D424" i="2"/>
  <c r="B424" i="2" s="1"/>
  <c r="C424" i="2" s="1"/>
  <c r="D422" i="2"/>
  <c r="B422" i="2" s="1"/>
  <c r="C422" i="2" s="1"/>
  <c r="D380" i="2"/>
  <c r="B380" i="2" s="1"/>
  <c r="C380" i="2" s="1"/>
  <c r="D358" i="2"/>
  <c r="B358" i="2" s="1"/>
  <c r="C358" i="2" s="1"/>
  <c r="D376" i="2"/>
  <c r="B376" i="2" s="1"/>
  <c r="C376" i="2" s="1"/>
  <c r="D353" i="2"/>
  <c r="B353" i="2" s="1"/>
  <c r="C353" i="2" s="1"/>
  <c r="D349" i="2"/>
  <c r="B349" i="2" s="1"/>
  <c r="C349" i="2" s="1"/>
  <c r="D348" i="2"/>
  <c r="B348" i="2" s="1"/>
  <c r="C348" i="2" s="1"/>
  <c r="D346" i="2"/>
  <c r="B346" i="2" s="1"/>
  <c r="C346" i="2" s="1"/>
  <c r="D405" i="2"/>
  <c r="B405" i="2" s="1"/>
  <c r="C405" i="2" s="1"/>
  <c r="D395" i="2"/>
  <c r="B395" i="2" s="1"/>
  <c r="C395" i="2" s="1"/>
  <c r="D392" i="2"/>
  <c r="B392" i="2" s="1"/>
  <c r="C392" i="2" s="1"/>
  <c r="D344" i="2"/>
  <c r="B344" i="2" s="1"/>
  <c r="C344" i="2" s="1"/>
  <c r="D396" i="2"/>
  <c r="B396" i="2" s="1"/>
  <c r="C396" i="2" s="1"/>
  <c r="O404" i="2"/>
  <c r="D383" i="2"/>
  <c r="B383" i="2" s="1"/>
  <c r="C383" i="2" s="1"/>
  <c r="D377" i="2"/>
  <c r="B377" i="2" s="1"/>
  <c r="C377" i="2" s="1"/>
  <c r="D347" i="2"/>
  <c r="B347" i="2" s="1"/>
  <c r="C347" i="2" s="1"/>
  <c r="D345" i="2"/>
  <c r="B345" i="2" s="1"/>
  <c r="C345" i="2" s="1"/>
  <c r="D355" i="2"/>
  <c r="B355" i="2" s="1"/>
  <c r="C355" i="2" s="1"/>
  <c r="D342" i="2"/>
  <c r="B342" i="2" s="1"/>
  <c r="C342" i="2" s="1"/>
  <c r="D403" i="2"/>
  <c r="B403" i="2" s="1"/>
  <c r="C403" i="2" s="1"/>
  <c r="D352" i="2"/>
  <c r="B352" i="2" s="1"/>
  <c r="C352" i="2" s="1"/>
  <c r="D400" i="2"/>
  <c r="B400" i="2" s="1"/>
  <c r="C400" i="2" s="1"/>
  <c r="D384" i="2"/>
  <c r="B384" i="2" s="1"/>
  <c r="C384" i="2" s="1"/>
  <c r="D359" i="2"/>
  <c r="B359" i="2" s="1"/>
  <c r="C359" i="2" s="1"/>
  <c r="D387" i="2"/>
  <c r="B387" i="2" s="1"/>
  <c r="C387" i="2" s="1"/>
  <c r="D341" i="2"/>
  <c r="B341" i="2" s="1"/>
  <c r="C341" i="2" s="1"/>
  <c r="D357" i="2"/>
  <c r="B357" i="2" s="1"/>
  <c r="C357" i="2" s="1"/>
  <c r="D379" i="2"/>
  <c r="B379" i="2" s="1"/>
  <c r="C379" i="2" s="1"/>
  <c r="D406" i="2"/>
  <c r="B406" i="2" s="1"/>
  <c r="C406" i="2" s="1"/>
  <c r="D398" i="2"/>
  <c r="B398" i="2" s="1"/>
  <c r="C398" i="2" s="1"/>
  <c r="D404" i="2"/>
  <c r="B404" i="2" s="1"/>
  <c r="C404" i="2" s="1"/>
  <c r="D393" i="2"/>
  <c r="B393" i="2" s="1"/>
  <c r="C393" i="2" s="1"/>
  <c r="D399" i="2"/>
  <c r="B399" i="2" s="1"/>
  <c r="C399" i="2" s="1"/>
  <c r="D401" i="2"/>
  <c r="B401" i="2" s="1"/>
  <c r="C401" i="2" s="1"/>
  <c r="D340" i="2"/>
  <c r="B340" i="2" s="1"/>
  <c r="C340" i="2" s="1"/>
  <c r="D339" i="2"/>
  <c r="B339" i="2" s="1"/>
  <c r="C339" i="2" s="1"/>
  <c r="D360" i="2"/>
  <c r="B360" i="2" s="1"/>
  <c r="C360" i="2" s="1"/>
  <c r="D343" i="2"/>
  <c r="B343" i="2" s="1"/>
  <c r="C343" i="2" s="1"/>
  <c r="D388" i="2"/>
  <c r="B388" i="2" s="1"/>
  <c r="C388" i="2" s="1"/>
  <c r="D375" i="2"/>
  <c r="B375" i="2" s="1"/>
  <c r="C375" i="2" s="1"/>
  <c r="D407" i="2"/>
  <c r="B407" i="2" s="1"/>
  <c r="C407" i="2" s="1"/>
  <c r="D402" i="2"/>
  <c r="B402" i="2" s="1"/>
  <c r="C402" i="2" s="1"/>
  <c r="D390" i="2"/>
  <c r="B390" i="2" s="1"/>
  <c r="C390" i="2" s="1"/>
  <c r="D351" i="2"/>
  <c r="B351" i="2" s="1"/>
  <c r="C351" i="2" s="1"/>
  <c r="D389" i="2"/>
  <c r="B389" i="2" s="1"/>
  <c r="C389" i="2" s="1"/>
  <c r="D234" i="2"/>
  <c r="B234" i="2" s="1"/>
  <c r="C234" i="2" s="1"/>
  <c r="D180" i="2"/>
  <c r="B180" i="2" s="1"/>
  <c r="C180" i="2" s="1"/>
  <c r="D224" i="2"/>
  <c r="B224" i="2" s="1"/>
  <c r="C224" i="2" s="1"/>
  <c r="D181" i="2"/>
  <c r="B181" i="2" s="1"/>
  <c r="C181" i="2" s="1"/>
  <c r="D204" i="2"/>
  <c r="B204" i="2" s="1"/>
  <c r="C204" i="2" s="1"/>
  <c r="D208" i="2"/>
  <c r="B208" i="2" s="1"/>
  <c r="C208" i="2" s="1"/>
  <c r="D233" i="2"/>
  <c r="B233" i="2" s="1"/>
  <c r="C233" i="2" s="1"/>
  <c r="D205" i="2"/>
  <c r="B205" i="2" s="1"/>
  <c r="C205" i="2" s="1"/>
  <c r="D215" i="2"/>
  <c r="B215" i="2" s="1"/>
  <c r="C215" i="2" s="1"/>
  <c r="D228" i="2"/>
  <c r="B228" i="2" s="1"/>
  <c r="C228" i="2" s="1"/>
  <c r="D232" i="2"/>
  <c r="B232" i="2" s="1"/>
  <c r="C232" i="2" s="1"/>
  <c r="D219" i="2"/>
  <c r="B219" i="2" s="1"/>
  <c r="C219" i="2" s="1"/>
  <c r="D218" i="2"/>
  <c r="B218" i="2" s="1"/>
  <c r="C218" i="2" s="1"/>
  <c r="D178" i="2"/>
  <c r="B178" i="2" s="1"/>
  <c r="C178" i="2" s="1"/>
  <c r="D237" i="2"/>
  <c r="B237" i="2" s="1"/>
  <c r="C237" i="2" s="1"/>
  <c r="D227" i="2"/>
  <c r="B227" i="2" s="1"/>
  <c r="C227" i="2" s="1"/>
  <c r="D179" i="2"/>
  <c r="B179" i="2" s="1"/>
  <c r="C179" i="2" s="1"/>
  <c r="D201" i="2"/>
  <c r="B201" i="2" s="1"/>
  <c r="C201" i="2" s="1"/>
  <c r="D177" i="2"/>
  <c r="B177" i="2" s="1"/>
  <c r="C177" i="2" s="1"/>
  <c r="D221" i="2"/>
  <c r="B221" i="2" s="1"/>
  <c r="C221" i="2" s="1"/>
  <c r="D174" i="2"/>
  <c r="B174" i="2" s="1"/>
  <c r="C174" i="2" s="1"/>
  <c r="D225" i="2"/>
  <c r="B225" i="2" s="1"/>
  <c r="C225" i="2" s="1"/>
  <c r="D211" i="2"/>
  <c r="B211" i="2" s="1"/>
  <c r="C211" i="2" s="1"/>
  <c r="D239" i="2"/>
  <c r="B239" i="2" s="1"/>
  <c r="C239" i="2" s="1"/>
  <c r="D235" i="2"/>
  <c r="B235" i="2" s="1"/>
  <c r="C235" i="2" s="1"/>
  <c r="D238" i="2"/>
  <c r="B238" i="2" s="1"/>
  <c r="C238" i="2" s="1"/>
  <c r="D241" i="2"/>
  <c r="B241" i="2" s="1"/>
  <c r="C241" i="2" s="1"/>
  <c r="D214" i="2"/>
  <c r="B214" i="2" s="1"/>
  <c r="C214" i="2" s="1"/>
  <c r="D222" i="2"/>
  <c r="B222" i="2" s="1"/>
  <c r="C222" i="2" s="1"/>
  <c r="D210" i="2"/>
  <c r="B210" i="2" s="1"/>
  <c r="C210" i="2" s="1"/>
  <c r="D202" i="2"/>
  <c r="B202" i="2" s="1"/>
  <c r="C202" i="2" s="1"/>
  <c r="D207" i="2"/>
  <c r="B207" i="2" s="1"/>
  <c r="C207" i="2" s="1"/>
  <c r="D185" i="2"/>
  <c r="B185" i="2" s="1"/>
  <c r="C185" i="2" s="1"/>
  <c r="D175" i="2"/>
  <c r="B175" i="2" s="1"/>
  <c r="C175" i="2" s="1"/>
  <c r="D184" i="2"/>
  <c r="B184" i="2" s="1"/>
  <c r="C184" i="2" s="1"/>
  <c r="D209" i="2"/>
  <c r="B209" i="2" s="1"/>
  <c r="C209" i="2" s="1"/>
  <c r="D172" i="2"/>
  <c r="B172" i="2" s="1"/>
  <c r="C172" i="2" s="1"/>
  <c r="AM75" i="2"/>
  <c r="AI75" i="2"/>
  <c r="AE75" i="2"/>
  <c r="Q97" i="2" l="1"/>
  <c r="Q88" i="2"/>
  <c r="Q96" i="2"/>
  <c r="Q106" i="2"/>
  <c r="Q92" i="2"/>
  <c r="Q104" i="2"/>
  <c r="Q95" i="2"/>
  <c r="Q99" i="2"/>
  <c r="Q89" i="2"/>
  <c r="Q100" i="2"/>
  <c r="Q94" i="2"/>
  <c r="Q105" i="2"/>
  <c r="Q98" i="2"/>
  <c r="Q102" i="2"/>
  <c r="Q93" i="2"/>
  <c r="Q103" i="2"/>
  <c r="Q101" i="2"/>
  <c r="Q91" i="2"/>
  <c r="E104" i="2"/>
  <c r="E93" i="2"/>
  <c r="E95" i="2"/>
  <c r="E106" i="2"/>
  <c r="E100" i="2"/>
  <c r="E103" i="2"/>
  <c r="E105" i="2"/>
  <c r="E97" i="2"/>
  <c r="E90" i="2"/>
  <c r="E101" i="2"/>
  <c r="E94" i="2"/>
  <c r="E99" i="2"/>
  <c r="E91" i="2"/>
  <c r="E89" i="2"/>
  <c r="E92" i="2"/>
  <c r="E98" i="2"/>
  <c r="E96" i="2"/>
  <c r="E88" i="2"/>
  <c r="E102" i="2"/>
  <c r="A2" i="13"/>
  <c r="A3" i="13" s="1"/>
  <c r="A4" i="13" s="1"/>
  <c r="A5" i="13" s="1"/>
  <c r="A6" i="13" s="1"/>
  <c r="K4" i="13"/>
  <c r="D140" i="2" l="1"/>
  <c r="B140" i="2" s="1"/>
  <c r="C140" i="2" s="1"/>
  <c r="D142" i="2"/>
  <c r="B142" i="2" s="1"/>
  <c r="C142" i="2" s="1"/>
  <c r="D110" i="2"/>
  <c r="B110" i="2" s="1"/>
  <c r="C110" i="2" s="1"/>
  <c r="D113" i="2"/>
  <c r="B113" i="2" s="1"/>
  <c r="C113" i="2" s="1"/>
  <c r="D108" i="2"/>
  <c r="B108" i="2" s="1"/>
  <c r="C108" i="2" s="1"/>
  <c r="D112" i="2"/>
  <c r="B112" i="2" s="1"/>
  <c r="C112" i="2" s="1"/>
  <c r="D111" i="2"/>
  <c r="B111" i="2" s="1"/>
  <c r="C111" i="2" s="1"/>
  <c r="D109" i="2"/>
  <c r="B109" i="2" s="1"/>
  <c r="C109" i="2" s="1"/>
  <c r="D107" i="2"/>
  <c r="B107" i="2" s="1"/>
  <c r="C107" i="2" s="1"/>
  <c r="D95" i="2"/>
  <c r="B95" i="2" s="1"/>
  <c r="C95" i="2" s="1"/>
  <c r="P371" i="2"/>
  <c r="O371" i="2" s="1"/>
  <c r="P431" i="2"/>
  <c r="O431" i="2" s="1"/>
  <c r="P181" i="2"/>
  <c r="O181" i="2" s="1"/>
  <c r="P348" i="2"/>
  <c r="O348" i="2" s="1"/>
  <c r="P211" i="2"/>
  <c r="O211" i="2" s="1"/>
  <c r="P377" i="2"/>
  <c r="O377" i="2" s="1"/>
  <c r="P365" i="2"/>
  <c r="O365" i="2" s="1"/>
  <c r="P203" i="2"/>
  <c r="O203" i="2" s="1"/>
  <c r="P370" i="2"/>
  <c r="O370" i="2" s="1"/>
  <c r="P210" i="2"/>
  <c r="O210" i="2" s="1"/>
  <c r="P376" i="2"/>
  <c r="O376" i="2" s="1"/>
  <c r="P97" i="2"/>
  <c r="O97" i="2" s="1"/>
  <c r="P96" i="2"/>
  <c r="O96" i="2" s="1"/>
  <c r="P204" i="2"/>
  <c r="O204" i="2" s="1"/>
  <c r="P372" i="2"/>
  <c r="O372" i="2" s="1"/>
  <c r="P205" i="2"/>
  <c r="O205" i="2" s="1"/>
  <c r="P379" i="2"/>
  <c r="O379" i="2" s="1"/>
  <c r="P378" i="2"/>
  <c r="O378" i="2" s="1"/>
  <c r="P213" i="2"/>
  <c r="O213" i="2" s="1"/>
  <c r="P212" i="2"/>
  <c r="O212" i="2" s="1"/>
  <c r="P206" i="2"/>
  <c r="O206" i="2" s="1"/>
  <c r="P375" i="2"/>
  <c r="O375" i="2" s="1"/>
  <c r="P209" i="2"/>
  <c r="O209" i="2" s="1"/>
  <c r="P207" i="2"/>
  <c r="O207" i="2" s="1"/>
  <c r="P373" i="2"/>
  <c r="O373" i="2" s="1"/>
  <c r="P374" i="2"/>
  <c r="O374" i="2" s="1"/>
  <c r="P208" i="2"/>
  <c r="O208" i="2" s="1"/>
  <c r="P369" i="2"/>
  <c r="O369" i="2" s="1"/>
  <c r="P198" i="2"/>
  <c r="O198" i="2" s="1"/>
  <c r="P380" i="2"/>
  <c r="O380" i="2" s="1"/>
  <c r="P202" i="2"/>
  <c r="O202" i="2" s="1"/>
  <c r="P95" i="2"/>
  <c r="O95" i="2" s="1"/>
  <c r="P180" i="2"/>
  <c r="O180" i="2" s="1"/>
  <c r="P199" i="2"/>
  <c r="O199" i="2" s="1"/>
  <c r="P229" i="2"/>
  <c r="O229" i="2" s="1"/>
  <c r="P384" i="2"/>
  <c r="O384" i="2" s="1"/>
  <c r="P214" i="2"/>
  <c r="O214" i="2" s="1"/>
  <c r="P237" i="2"/>
  <c r="O237" i="2" s="1"/>
  <c r="P403" i="2"/>
  <c r="O403" i="2" s="1"/>
  <c r="P393" i="2"/>
  <c r="O393" i="2" s="1"/>
  <c r="P232" i="2"/>
  <c r="O232" i="2" s="1"/>
  <c r="P227" i="2"/>
  <c r="O227" i="2" s="1"/>
  <c r="P398" i="2"/>
  <c r="O398" i="2" s="1"/>
  <c r="P389" i="2"/>
  <c r="O389" i="2" s="1"/>
  <c r="P223" i="2"/>
  <c r="O223" i="2" s="1"/>
  <c r="P195" i="2"/>
  <c r="O195" i="2" s="1"/>
  <c r="P91" i="2"/>
  <c r="O91" i="2" s="1"/>
  <c r="P430" i="2"/>
  <c r="O430" i="2" s="1"/>
  <c r="P347" i="2"/>
  <c r="O347" i="2" s="1"/>
  <c r="P90" i="2"/>
  <c r="O90" i="2" s="1"/>
  <c r="P176" i="2"/>
  <c r="O176" i="2" s="1"/>
  <c r="P231" i="2"/>
  <c r="O231" i="2" s="1"/>
  <c r="P92" i="2"/>
  <c r="O92" i="2" s="1"/>
  <c r="P226" i="2"/>
  <c r="O226" i="2" s="1"/>
  <c r="P392" i="2"/>
  <c r="O392" i="2" s="1"/>
  <c r="P395" i="2"/>
  <c r="O395" i="2" s="1"/>
  <c r="P397" i="2"/>
  <c r="O397" i="2" s="1"/>
  <c r="P89" i="2"/>
  <c r="O89" i="2" s="1"/>
  <c r="P99" i="2"/>
  <c r="O99" i="2" s="1"/>
  <c r="P106" i="2"/>
  <c r="O106" i="2" s="1"/>
  <c r="P93" i="2"/>
  <c r="O93" i="2" s="1"/>
  <c r="P98" i="2"/>
  <c r="O98" i="2" s="1"/>
  <c r="P88" i="2"/>
  <c r="O88" i="2" s="1"/>
  <c r="P101" i="2"/>
  <c r="O101" i="2" s="1"/>
  <c r="P100" i="2"/>
  <c r="O100" i="2" s="1"/>
  <c r="P200" i="2"/>
  <c r="O200" i="2" s="1"/>
  <c r="P173" i="2"/>
  <c r="O173" i="2" s="1"/>
  <c r="P422" i="2"/>
  <c r="O422" i="2" s="1"/>
  <c r="P172" i="2"/>
  <c r="O172" i="2" s="1"/>
  <c r="P355" i="2"/>
  <c r="O355" i="2" s="1"/>
  <c r="P367" i="2"/>
  <c r="O367" i="2" s="1"/>
  <c r="P188" i="2"/>
  <c r="O188" i="2" s="1"/>
  <c r="P423" i="2"/>
  <c r="O423" i="2" s="1"/>
  <c r="P339" i="2"/>
  <c r="O339" i="2" s="1"/>
  <c r="P340" i="2"/>
  <c r="O340" i="2" s="1"/>
  <c r="P102" i="2"/>
  <c r="O102" i="2" s="1"/>
  <c r="P105" i="2"/>
  <c r="O105" i="2" s="1"/>
  <c r="P103" i="2"/>
  <c r="O103" i="2" s="1"/>
  <c r="P104" i="2"/>
  <c r="O104" i="2" s="1"/>
  <c r="P429" i="2"/>
  <c r="O429" i="2" s="1"/>
  <c r="P178" i="2"/>
  <c r="O178" i="2" s="1"/>
  <c r="P174" i="2"/>
  <c r="O174" i="2" s="1"/>
  <c r="P426" i="2"/>
  <c r="O426" i="2" s="1"/>
  <c r="P179" i="2"/>
  <c r="O179" i="2" s="1"/>
  <c r="P425" i="2"/>
  <c r="O425" i="2" s="1"/>
  <c r="P342" i="2"/>
  <c r="O342" i="2" s="1"/>
  <c r="P424" i="2"/>
  <c r="O424" i="2" s="1"/>
  <c r="P345" i="2"/>
  <c r="O345" i="2" s="1"/>
  <c r="P427" i="2"/>
  <c r="O427" i="2" s="1"/>
  <c r="P175" i="2"/>
  <c r="O175" i="2" s="1"/>
  <c r="P341" i="2"/>
  <c r="O341" i="2" s="1"/>
  <c r="P346" i="2"/>
  <c r="O346" i="2" s="1"/>
  <c r="P177" i="2"/>
  <c r="O177" i="2" s="1"/>
  <c r="P344" i="2"/>
  <c r="O344" i="2" s="1"/>
  <c r="P428" i="2"/>
  <c r="O428" i="2" s="1"/>
  <c r="P343" i="2"/>
  <c r="O343" i="2" s="1"/>
  <c r="P399" i="2"/>
  <c r="O399" i="2" s="1"/>
  <c r="P363" i="2"/>
  <c r="O363" i="2" s="1"/>
  <c r="P197" i="2"/>
  <c r="O197" i="2" s="1"/>
  <c r="P390" i="2"/>
  <c r="O390" i="2" s="1"/>
  <c r="P189" i="2"/>
  <c r="O189" i="2" s="1"/>
  <c r="P224" i="2"/>
  <c r="O224" i="2" s="1"/>
  <c r="P364" i="2"/>
  <c r="O364" i="2" s="1"/>
  <c r="P196" i="2"/>
  <c r="O196" i="2" s="1"/>
  <c r="P356" i="2"/>
  <c r="O356" i="2" s="1"/>
  <c r="P233" i="2"/>
  <c r="O233" i="2" s="1"/>
  <c r="P362" i="2"/>
  <c r="O362" i="2" s="1"/>
  <c r="P228" i="2"/>
  <c r="O228" i="2" s="1"/>
  <c r="P394" i="2"/>
  <c r="O394" i="2" s="1"/>
  <c r="P432" i="2"/>
  <c r="O432" i="2" s="1"/>
  <c r="P225" i="2"/>
  <c r="O225" i="2" s="1"/>
  <c r="P354" i="2"/>
  <c r="O354" i="2" s="1"/>
  <c r="P387" i="2"/>
  <c r="O387" i="2" s="1"/>
  <c r="P357" i="2"/>
  <c r="O357" i="2" s="1"/>
  <c r="P190" i="2"/>
  <c r="O190" i="2" s="1"/>
  <c r="P433" i="2"/>
  <c r="O433" i="2" s="1"/>
  <c r="P186" i="2"/>
  <c r="O186" i="2" s="1"/>
  <c r="P187" i="2"/>
  <c r="O187" i="2" s="1"/>
  <c r="P185" i="2"/>
  <c r="O185" i="2" s="1"/>
  <c r="P434" i="2"/>
  <c r="O434" i="2" s="1"/>
  <c r="P349" i="2"/>
  <c r="O349" i="2" s="1"/>
  <c r="P391" i="2"/>
  <c r="O391" i="2" s="1"/>
  <c r="P353" i="2"/>
  <c r="O353" i="2" s="1"/>
  <c r="P350" i="2"/>
  <c r="O350" i="2" s="1"/>
  <c r="P182" i="2"/>
  <c r="O182" i="2" s="1"/>
  <c r="P352" i="2"/>
  <c r="O352" i="2" s="1"/>
  <c r="P184" i="2"/>
  <c r="O184" i="2" s="1"/>
  <c r="P183" i="2"/>
  <c r="O183" i="2" s="1"/>
  <c r="P435" i="2"/>
  <c r="O435" i="2" s="1"/>
  <c r="P351" i="2"/>
  <c r="O351" i="2" s="1"/>
  <c r="P221" i="2"/>
  <c r="O221" i="2" s="1"/>
  <c r="P194" i="2"/>
  <c r="O194" i="2" s="1"/>
  <c r="P193" i="2"/>
  <c r="O193" i="2" s="1"/>
  <c r="P361" i="2"/>
  <c r="O361" i="2" s="1"/>
  <c r="P360" i="2"/>
  <c r="O360" i="2" s="1"/>
  <c r="P218" i="2"/>
  <c r="O218" i="2" s="1"/>
  <c r="P217" i="2"/>
  <c r="O217" i="2" s="1"/>
  <c r="P358" i="2"/>
  <c r="O358" i="2" s="1"/>
  <c r="P191" i="2"/>
  <c r="O191" i="2" s="1"/>
  <c r="P216" i="2"/>
  <c r="O216" i="2" s="1"/>
  <c r="P222" i="2"/>
  <c r="O222" i="2" s="1"/>
  <c r="P219" i="2"/>
  <c r="O219" i="2" s="1"/>
  <c r="P388" i="2"/>
  <c r="O388" i="2" s="1"/>
  <c r="P381" i="2"/>
  <c r="O381" i="2" s="1"/>
  <c r="P220" i="2"/>
  <c r="O220" i="2" s="1"/>
  <c r="P383" i="2"/>
  <c r="O383" i="2" s="1"/>
  <c r="P385" i="2"/>
  <c r="O385" i="2" s="1"/>
  <c r="P215" i="2"/>
  <c r="O215" i="2" s="1"/>
  <c r="P386" i="2"/>
  <c r="O386" i="2" s="1"/>
  <c r="P382" i="2"/>
  <c r="O382" i="2" s="1"/>
  <c r="P235" i="2"/>
  <c r="O235" i="2" s="1"/>
  <c r="P396" i="2"/>
  <c r="O396" i="2" s="1"/>
  <c r="P359" i="2"/>
  <c r="O359" i="2" s="1"/>
  <c r="P192" i="2"/>
  <c r="O192" i="2" s="1"/>
  <c r="P400" i="2"/>
  <c r="O400" i="2" s="1"/>
  <c r="P402" i="2"/>
  <c r="O402" i="2" s="1"/>
  <c r="P401" i="2"/>
  <c r="O401" i="2" s="1"/>
  <c r="P368" i="2"/>
  <c r="O368" i="2" s="1"/>
  <c r="P234" i="2"/>
  <c r="O234" i="2" s="1"/>
  <c r="P201" i="2"/>
  <c r="O201" i="2" s="1"/>
  <c r="P236" i="2"/>
  <c r="O236" i="2" s="1"/>
  <c r="P94" i="2"/>
  <c r="O94" i="2" s="1"/>
  <c r="P366" i="2"/>
  <c r="O366" i="2" s="1"/>
  <c r="A7" i="13"/>
  <c r="F6" i="13"/>
  <c r="F2" i="13"/>
  <c r="F3" i="13"/>
  <c r="F4" i="13"/>
  <c r="F5" i="13"/>
  <c r="D103" i="2"/>
  <c r="B103" i="2" s="1"/>
  <c r="C103" i="2" s="1"/>
  <c r="D91" i="2"/>
  <c r="B91" i="2" s="1"/>
  <c r="C91" i="2" s="1"/>
  <c r="D96" i="2"/>
  <c r="B96" i="2" s="1"/>
  <c r="C96" i="2" s="1"/>
  <c r="D100" i="2"/>
  <c r="B100" i="2" s="1"/>
  <c r="C100" i="2" s="1"/>
  <c r="D92" i="2"/>
  <c r="B92" i="2" s="1"/>
  <c r="C92" i="2" s="1"/>
  <c r="D94" i="2"/>
  <c r="B94" i="2" s="1"/>
  <c r="C94" i="2" s="1"/>
  <c r="D104" i="2"/>
  <c r="B104" i="2" s="1"/>
  <c r="C104" i="2" s="1"/>
  <c r="D102" i="2"/>
  <c r="B102" i="2" s="1"/>
  <c r="C102" i="2" s="1"/>
  <c r="D88" i="2"/>
  <c r="B88" i="2" s="1"/>
  <c r="C88" i="2" s="1"/>
  <c r="D97" i="2"/>
  <c r="B97" i="2" s="1"/>
  <c r="C97" i="2" s="1"/>
  <c r="D93" i="2"/>
  <c r="B93" i="2" s="1"/>
  <c r="C93" i="2" s="1"/>
  <c r="D90" i="2"/>
  <c r="B90" i="2" s="1"/>
  <c r="C90" i="2" s="1"/>
  <c r="D105" i="2"/>
  <c r="B105" i="2" s="1"/>
  <c r="C105" i="2" s="1"/>
  <c r="D99" i="2"/>
  <c r="B99" i="2" s="1"/>
  <c r="C99" i="2" s="1"/>
  <c r="D101" i="2"/>
  <c r="B101" i="2" s="1"/>
  <c r="C101" i="2" s="1"/>
  <c r="D89" i="2"/>
  <c r="B89" i="2" s="1"/>
  <c r="C89" i="2" s="1"/>
  <c r="D106" i="2"/>
  <c r="B106" i="2" s="1"/>
  <c r="C106" i="2" s="1"/>
  <c r="D98" i="2"/>
  <c r="B98" i="2" s="1"/>
  <c r="C98" i="2" s="1"/>
  <c r="AC15" i="11"/>
  <c r="AC13" i="11"/>
  <c r="AC14" i="11"/>
  <c r="D5" i="1"/>
  <c r="E6" i="11"/>
  <c r="D99" i="1" l="1"/>
  <c r="D102" i="1"/>
  <c r="D98" i="1"/>
  <c r="D100" i="1"/>
  <c r="D101" i="1"/>
  <c r="D94" i="1"/>
  <c r="D93" i="1"/>
  <c r="D41" i="1"/>
  <c r="D27" i="1"/>
  <c r="D29" i="1"/>
  <c r="D79" i="1"/>
  <c r="D82" i="1"/>
  <c r="D8" i="1"/>
  <c r="D78" i="1"/>
  <c r="D39" i="1"/>
  <c r="D42" i="1"/>
  <c r="D80" i="1"/>
  <c r="D43" i="1"/>
  <c r="D40" i="1"/>
  <c r="D44" i="1"/>
  <c r="D28" i="1"/>
  <c r="D35" i="1"/>
  <c r="D81" i="1"/>
  <c r="D26" i="1"/>
  <c r="D59" i="1"/>
  <c r="A8" i="13"/>
  <c r="F7" i="13"/>
  <c r="L177" i="2"/>
  <c r="L344" i="2"/>
  <c r="L427" i="2"/>
  <c r="L93" i="2"/>
  <c r="L426" i="2"/>
  <c r="L176" i="2"/>
  <c r="L92" i="2"/>
  <c r="L343" i="2"/>
  <c r="L340" i="2"/>
  <c r="L89" i="2"/>
  <c r="L423" i="2"/>
  <c r="L173" i="2"/>
  <c r="L91" i="2"/>
  <c r="L425" i="2"/>
  <c r="L175" i="2"/>
  <c r="L342" i="2"/>
  <c r="L88" i="2"/>
  <c r="L422" i="2"/>
  <c r="L339" i="2"/>
  <c r="L172" i="2"/>
  <c r="L90" i="2"/>
  <c r="L424" i="2"/>
  <c r="L174" i="2"/>
  <c r="L341" i="2"/>
  <c r="D47" i="1"/>
  <c r="D86" i="1"/>
  <c r="D72" i="1"/>
  <c r="D61" i="1"/>
  <c r="D53" i="1"/>
  <c r="D24" i="1"/>
  <c r="D22" i="1"/>
  <c r="D32" i="1"/>
  <c r="D18" i="1"/>
  <c r="D16" i="1"/>
  <c r="D14" i="1"/>
  <c r="D106" i="1"/>
  <c r="D85" i="1"/>
  <c r="D71" i="1"/>
  <c r="D60" i="1"/>
  <c r="D13" i="1"/>
  <c r="D10" i="1"/>
  <c r="D105" i="1"/>
  <c r="D97" i="1"/>
  <c r="D92" i="1"/>
  <c r="D77" i="1"/>
  <c r="D75" i="1"/>
  <c r="D70" i="1"/>
  <c r="D64" i="1"/>
  <c r="D58" i="1"/>
  <c r="D54" i="1"/>
  <c r="D50" i="1"/>
  <c r="D23" i="1"/>
  <c r="D17" i="1"/>
  <c r="D89" i="1"/>
  <c r="D76" i="1"/>
  <c r="D67" i="1"/>
  <c r="D57" i="1"/>
  <c r="D38" i="1"/>
  <c r="D21" i="1"/>
  <c r="D15" i="1"/>
  <c r="D25" i="1"/>
  <c r="D9" i="1"/>
  <c r="B7" i="11"/>
  <c r="AC8" i="11"/>
  <c r="L101" i="1" l="1"/>
  <c r="O101" i="1"/>
  <c r="J101" i="1"/>
  <c r="K101" i="1"/>
  <c r="F101" i="1"/>
  <c r="E101" i="1"/>
  <c r="H101" i="1"/>
  <c r="L100" i="1"/>
  <c r="O100" i="1"/>
  <c r="J100" i="1"/>
  <c r="H100" i="1"/>
  <c r="F100" i="1"/>
  <c r="E100" i="1"/>
  <c r="K100" i="1"/>
  <c r="H98" i="1"/>
  <c r="E98" i="1"/>
  <c r="J98" i="1"/>
  <c r="O98" i="1"/>
  <c r="F98" i="1"/>
  <c r="L98" i="1"/>
  <c r="K98" i="1"/>
  <c r="E102" i="1"/>
  <c r="O102" i="1"/>
  <c r="P102" i="1" s="1"/>
  <c r="H102" i="1"/>
  <c r="F102" i="1"/>
  <c r="J102" i="1"/>
  <c r="L102" i="1"/>
  <c r="K102" i="1"/>
  <c r="O99" i="1"/>
  <c r="L99" i="1"/>
  <c r="K99" i="1"/>
  <c r="J99" i="1"/>
  <c r="E99" i="1"/>
  <c r="H99" i="1"/>
  <c r="F99" i="1"/>
  <c r="F81" i="1"/>
  <c r="L81" i="1"/>
  <c r="H81" i="1"/>
  <c r="K81" i="1"/>
  <c r="O81" i="1"/>
  <c r="E81" i="1"/>
  <c r="J81" i="1"/>
  <c r="H78" i="1"/>
  <c r="F78" i="1"/>
  <c r="K78" i="1"/>
  <c r="L78" i="1"/>
  <c r="O78" i="1"/>
  <c r="E78" i="1"/>
  <c r="J78" i="1"/>
  <c r="H35" i="1"/>
  <c r="H36" i="1" s="1"/>
  <c r="E35" i="1"/>
  <c r="E36" i="1" s="1"/>
  <c r="O35" i="1"/>
  <c r="O36" i="1" s="1"/>
  <c r="F35" i="1"/>
  <c r="F36" i="1" s="1"/>
  <c r="K35" i="1"/>
  <c r="K36" i="1" s="1"/>
  <c r="J35" i="1"/>
  <c r="J36" i="1" s="1"/>
  <c r="L35" i="1"/>
  <c r="L36" i="1" s="1"/>
  <c r="K82" i="1"/>
  <c r="O82" i="1"/>
  <c r="L82" i="1"/>
  <c r="E82" i="1"/>
  <c r="H82" i="1"/>
  <c r="J82" i="1"/>
  <c r="F82" i="1"/>
  <c r="J28" i="1"/>
  <c r="K28" i="1"/>
  <c r="F28" i="1"/>
  <c r="L28" i="1"/>
  <c r="O28" i="1"/>
  <c r="E28" i="1"/>
  <c r="H28" i="1"/>
  <c r="J79" i="1"/>
  <c r="L79" i="1"/>
  <c r="K79" i="1"/>
  <c r="F79" i="1"/>
  <c r="H79" i="1"/>
  <c r="O79" i="1"/>
  <c r="E79" i="1"/>
  <c r="F44" i="1"/>
  <c r="J44" i="1"/>
  <c r="O44" i="1"/>
  <c r="E44" i="1"/>
  <c r="L44" i="1"/>
  <c r="K44" i="1"/>
  <c r="H44" i="1"/>
  <c r="E29" i="1"/>
  <c r="F29" i="1"/>
  <c r="H29" i="1"/>
  <c r="O29" i="1"/>
  <c r="L29" i="1"/>
  <c r="J29" i="1"/>
  <c r="K29" i="1"/>
  <c r="K40" i="1"/>
  <c r="L40" i="1"/>
  <c r="H40" i="1"/>
  <c r="F40" i="1"/>
  <c r="O40" i="1"/>
  <c r="E40" i="1"/>
  <c r="J40" i="1"/>
  <c r="E27" i="1"/>
  <c r="O27" i="1"/>
  <c r="K27" i="1"/>
  <c r="J27" i="1"/>
  <c r="H27" i="1"/>
  <c r="F27" i="1"/>
  <c r="L27" i="1"/>
  <c r="H43" i="1"/>
  <c r="L43" i="1"/>
  <c r="O43" i="1"/>
  <c r="E43" i="1"/>
  <c r="F43" i="1"/>
  <c r="K43" i="1"/>
  <c r="J43" i="1"/>
  <c r="F41" i="1"/>
  <c r="L41" i="1"/>
  <c r="H41" i="1"/>
  <c r="E41" i="1"/>
  <c r="K41" i="1"/>
  <c r="O41" i="1"/>
  <c r="J41" i="1"/>
  <c r="F80" i="1"/>
  <c r="E80" i="1"/>
  <c r="H80" i="1"/>
  <c r="K80" i="1"/>
  <c r="L80" i="1"/>
  <c r="O80" i="1"/>
  <c r="J80" i="1"/>
  <c r="F59" i="1"/>
  <c r="L59" i="1"/>
  <c r="K59" i="1"/>
  <c r="H59" i="1"/>
  <c r="J59" i="1"/>
  <c r="E59" i="1"/>
  <c r="O59" i="1"/>
  <c r="E42" i="1"/>
  <c r="H42" i="1"/>
  <c r="F42" i="1"/>
  <c r="L42" i="1"/>
  <c r="K42" i="1"/>
  <c r="O42" i="1"/>
  <c r="J42" i="1"/>
  <c r="E93" i="1"/>
  <c r="O93" i="1"/>
  <c r="J93" i="1"/>
  <c r="F93" i="1"/>
  <c r="K93" i="1"/>
  <c r="L93" i="1"/>
  <c r="H93" i="1"/>
  <c r="E26" i="1"/>
  <c r="H26" i="1"/>
  <c r="O26" i="1"/>
  <c r="J26" i="1"/>
  <c r="L26" i="1"/>
  <c r="K26" i="1"/>
  <c r="F26" i="1"/>
  <c r="J39" i="1"/>
  <c r="K39" i="1"/>
  <c r="O39" i="1"/>
  <c r="E39" i="1"/>
  <c r="L39" i="1"/>
  <c r="H39" i="1"/>
  <c r="F39" i="1"/>
  <c r="O94" i="1"/>
  <c r="H94" i="1"/>
  <c r="L94" i="1"/>
  <c r="J94" i="1"/>
  <c r="E94" i="1"/>
  <c r="K94" i="1"/>
  <c r="F94" i="1"/>
  <c r="A9" i="13"/>
  <c r="F8" i="13"/>
  <c r="H47" i="1"/>
  <c r="J47" i="1"/>
  <c r="J48" i="1" s="1"/>
  <c r="K47" i="1"/>
  <c r="K48" i="1" s="1"/>
  <c r="L47" i="1"/>
  <c r="L48" i="1" s="1"/>
  <c r="E47" i="1"/>
  <c r="O47" i="1"/>
  <c r="F47" i="1"/>
  <c r="H38" i="1"/>
  <c r="O38" i="1"/>
  <c r="L38" i="1"/>
  <c r="K38" i="1"/>
  <c r="F38" i="1"/>
  <c r="J38" i="1"/>
  <c r="E38" i="1"/>
  <c r="H17" i="1"/>
  <c r="O17" i="1"/>
  <c r="L17" i="1"/>
  <c r="K17" i="1"/>
  <c r="F17" i="1"/>
  <c r="J17" i="1"/>
  <c r="E17" i="1"/>
  <c r="K77" i="1"/>
  <c r="E77" i="1"/>
  <c r="J77" i="1"/>
  <c r="L77" i="1"/>
  <c r="H77" i="1"/>
  <c r="F77" i="1"/>
  <c r="O77" i="1"/>
  <c r="K18" i="1"/>
  <c r="F18" i="1"/>
  <c r="O18" i="1"/>
  <c r="J18" i="1"/>
  <c r="L18" i="1"/>
  <c r="H18" i="1"/>
  <c r="E18" i="1"/>
  <c r="H57" i="1"/>
  <c r="O57" i="1"/>
  <c r="L57" i="1"/>
  <c r="K57" i="1"/>
  <c r="F57" i="1"/>
  <c r="J57" i="1"/>
  <c r="E57" i="1"/>
  <c r="H23" i="1"/>
  <c r="O23" i="1"/>
  <c r="L23" i="1"/>
  <c r="K23" i="1"/>
  <c r="F23" i="1"/>
  <c r="J23" i="1"/>
  <c r="E23" i="1"/>
  <c r="O32" i="1"/>
  <c r="F32" i="1"/>
  <c r="E32" i="1"/>
  <c r="H32" i="1"/>
  <c r="J32" i="1"/>
  <c r="L32" i="1"/>
  <c r="K32" i="1"/>
  <c r="H67" i="1"/>
  <c r="O67" i="1"/>
  <c r="L67" i="1"/>
  <c r="K67" i="1"/>
  <c r="F67" i="1"/>
  <c r="J67" i="1"/>
  <c r="E67" i="1"/>
  <c r="K50" i="1"/>
  <c r="J50" i="1"/>
  <c r="L50" i="1"/>
  <c r="H50" i="1"/>
  <c r="E50" i="1"/>
  <c r="O50" i="1"/>
  <c r="F50" i="1"/>
  <c r="O60" i="1"/>
  <c r="F60" i="1"/>
  <c r="H60" i="1"/>
  <c r="K60" i="1"/>
  <c r="E60" i="1"/>
  <c r="J60" i="1"/>
  <c r="L60" i="1"/>
  <c r="E22" i="1"/>
  <c r="O22" i="1"/>
  <c r="L22" i="1"/>
  <c r="K22" i="1"/>
  <c r="J22" i="1"/>
  <c r="H22" i="1"/>
  <c r="F22" i="1"/>
  <c r="H76" i="1"/>
  <c r="O76" i="1"/>
  <c r="L76" i="1"/>
  <c r="K76" i="1"/>
  <c r="F76" i="1"/>
  <c r="J76" i="1"/>
  <c r="E76" i="1"/>
  <c r="E92" i="1"/>
  <c r="K92" i="1"/>
  <c r="J92" i="1"/>
  <c r="H92" i="1"/>
  <c r="O92" i="1"/>
  <c r="L92" i="1"/>
  <c r="F92" i="1"/>
  <c r="O71" i="1"/>
  <c r="F71" i="1"/>
  <c r="K71" i="1"/>
  <c r="E71" i="1"/>
  <c r="J71" i="1"/>
  <c r="L71" i="1"/>
  <c r="H71" i="1"/>
  <c r="K24" i="1"/>
  <c r="O24" i="1"/>
  <c r="E24" i="1"/>
  <c r="F24" i="1"/>
  <c r="J24" i="1"/>
  <c r="L24" i="1"/>
  <c r="H24" i="1"/>
  <c r="O9" i="1"/>
  <c r="L9" i="1"/>
  <c r="K9" i="1"/>
  <c r="J9" i="1"/>
  <c r="H9" i="1"/>
  <c r="F9" i="1"/>
  <c r="E9" i="1"/>
  <c r="K97" i="1"/>
  <c r="O97" i="1"/>
  <c r="E97" i="1"/>
  <c r="J97" i="1"/>
  <c r="F97" i="1"/>
  <c r="L97" i="1"/>
  <c r="H97" i="1"/>
  <c r="O53" i="1"/>
  <c r="L53" i="1"/>
  <c r="K53" i="1"/>
  <c r="J53" i="1"/>
  <c r="H53" i="1"/>
  <c r="F53" i="1"/>
  <c r="E53" i="1"/>
  <c r="O25" i="1"/>
  <c r="F25" i="1"/>
  <c r="E25" i="1"/>
  <c r="H25" i="1"/>
  <c r="J25" i="1"/>
  <c r="L25" i="1"/>
  <c r="K25" i="1"/>
  <c r="H89" i="1"/>
  <c r="O89" i="1"/>
  <c r="L89" i="1"/>
  <c r="K89" i="1"/>
  <c r="E89" i="1"/>
  <c r="F89" i="1"/>
  <c r="J89" i="1"/>
  <c r="E54" i="1"/>
  <c r="K54" i="1"/>
  <c r="J54" i="1"/>
  <c r="H54" i="1"/>
  <c r="O54" i="1"/>
  <c r="L54" i="1"/>
  <c r="F54" i="1"/>
  <c r="O85" i="1"/>
  <c r="F85" i="1"/>
  <c r="H85" i="1"/>
  <c r="L85" i="1"/>
  <c r="E85" i="1"/>
  <c r="K85" i="1"/>
  <c r="J85" i="1"/>
  <c r="O61" i="1"/>
  <c r="L61" i="1"/>
  <c r="K61" i="1"/>
  <c r="J61" i="1"/>
  <c r="H61" i="1"/>
  <c r="F61" i="1"/>
  <c r="E61" i="1"/>
  <c r="K58" i="1"/>
  <c r="F58" i="1"/>
  <c r="J58" i="1"/>
  <c r="L58" i="1"/>
  <c r="H58" i="1"/>
  <c r="E58" i="1"/>
  <c r="O58" i="1"/>
  <c r="K105" i="1"/>
  <c r="J105" i="1"/>
  <c r="H105" i="1"/>
  <c r="L105" i="1"/>
  <c r="O105" i="1"/>
  <c r="E105" i="1"/>
  <c r="F105" i="1"/>
  <c r="O72" i="1"/>
  <c r="L72" i="1"/>
  <c r="K72" i="1"/>
  <c r="J72" i="1"/>
  <c r="H72" i="1"/>
  <c r="F72" i="1"/>
  <c r="E72" i="1"/>
  <c r="E64" i="1"/>
  <c r="K64" i="1"/>
  <c r="J64" i="1"/>
  <c r="H64" i="1"/>
  <c r="O64" i="1"/>
  <c r="L64" i="1"/>
  <c r="F64" i="1"/>
  <c r="O106" i="1"/>
  <c r="H106" i="1"/>
  <c r="F106" i="1"/>
  <c r="L106" i="1"/>
  <c r="K106" i="1"/>
  <c r="E106" i="1"/>
  <c r="J106" i="1"/>
  <c r="O15" i="1"/>
  <c r="L15" i="1"/>
  <c r="K15" i="1"/>
  <c r="J15" i="1"/>
  <c r="H15" i="1"/>
  <c r="F15" i="1"/>
  <c r="E15" i="1"/>
  <c r="K70" i="1"/>
  <c r="F70" i="1"/>
  <c r="O70" i="1"/>
  <c r="J70" i="1"/>
  <c r="E70" i="1"/>
  <c r="L70" i="1"/>
  <c r="H70" i="1"/>
  <c r="E10" i="1"/>
  <c r="J10" i="1"/>
  <c r="H10" i="1"/>
  <c r="O10" i="1"/>
  <c r="L10" i="1"/>
  <c r="K10" i="1"/>
  <c r="F10" i="1"/>
  <c r="O14" i="1"/>
  <c r="E14" i="1"/>
  <c r="F14" i="1"/>
  <c r="L14" i="1"/>
  <c r="K14" i="1"/>
  <c r="H14" i="1"/>
  <c r="J14" i="1"/>
  <c r="O86" i="1"/>
  <c r="L86" i="1"/>
  <c r="K86" i="1"/>
  <c r="J86" i="1"/>
  <c r="H86" i="1"/>
  <c r="F86" i="1"/>
  <c r="E86" i="1"/>
  <c r="O21" i="1"/>
  <c r="L21" i="1"/>
  <c r="K21" i="1"/>
  <c r="J21" i="1"/>
  <c r="H21" i="1"/>
  <c r="F21" i="1"/>
  <c r="E21" i="1"/>
  <c r="E75" i="1"/>
  <c r="K75" i="1"/>
  <c r="J75" i="1"/>
  <c r="H75" i="1"/>
  <c r="O75" i="1"/>
  <c r="L75" i="1"/>
  <c r="F75" i="1"/>
  <c r="K13" i="1"/>
  <c r="J13" i="1"/>
  <c r="L13" i="1"/>
  <c r="H13" i="1"/>
  <c r="O13" i="1"/>
  <c r="E13" i="1"/>
  <c r="F13" i="1"/>
  <c r="E16" i="1"/>
  <c r="H16" i="1"/>
  <c r="O16" i="1"/>
  <c r="L16" i="1"/>
  <c r="K16" i="1"/>
  <c r="J16" i="1"/>
  <c r="F16" i="1"/>
  <c r="AC7" i="11"/>
  <c r="B19" i="11"/>
  <c r="D19" i="11" s="1"/>
  <c r="B8" i="11"/>
  <c r="P81" i="1" l="1"/>
  <c r="P98" i="1"/>
  <c r="G101" i="1"/>
  <c r="G98" i="1"/>
  <c r="I101" i="1"/>
  <c r="M101" i="1"/>
  <c r="I44" i="1"/>
  <c r="M81" i="1"/>
  <c r="G81" i="1"/>
  <c r="E48" i="1"/>
  <c r="N48" i="1" s="1"/>
  <c r="N99" i="1"/>
  <c r="P26" i="1"/>
  <c r="G99" i="1"/>
  <c r="G102" i="1"/>
  <c r="G28" i="1"/>
  <c r="I99" i="1"/>
  <c r="I102" i="1"/>
  <c r="M99" i="1"/>
  <c r="I42" i="1"/>
  <c r="M100" i="1"/>
  <c r="M98" i="1"/>
  <c r="P100" i="1"/>
  <c r="P99" i="1"/>
  <c r="P101" i="1"/>
  <c r="N98" i="1"/>
  <c r="G100" i="1"/>
  <c r="N101" i="1"/>
  <c r="N102" i="1"/>
  <c r="P44" i="1"/>
  <c r="P78" i="1"/>
  <c r="I28" i="1"/>
  <c r="I81" i="1"/>
  <c r="M26" i="1"/>
  <c r="P41" i="1"/>
  <c r="P43" i="1"/>
  <c r="I98" i="1"/>
  <c r="I100" i="1"/>
  <c r="M102" i="1"/>
  <c r="N100" i="1"/>
  <c r="I41" i="1"/>
  <c r="N94" i="1"/>
  <c r="H95" i="1"/>
  <c r="G94" i="1"/>
  <c r="E95" i="1"/>
  <c r="M93" i="1"/>
  <c r="G41" i="1"/>
  <c r="I27" i="1"/>
  <c r="N81" i="1"/>
  <c r="G26" i="1"/>
  <c r="N43" i="1"/>
  <c r="N27" i="1"/>
  <c r="I94" i="1"/>
  <c r="G80" i="1"/>
  <c r="I82" i="1"/>
  <c r="M41" i="1"/>
  <c r="O95" i="1"/>
  <c r="O48" i="1"/>
  <c r="I26" i="1"/>
  <c r="M80" i="1"/>
  <c r="I40" i="1"/>
  <c r="I39" i="1"/>
  <c r="M59" i="1"/>
  <c r="I80" i="1"/>
  <c r="P39" i="1"/>
  <c r="G82" i="1"/>
  <c r="M94" i="1"/>
  <c r="P27" i="1"/>
  <c r="M79" i="1"/>
  <c r="H48" i="1"/>
  <c r="N39" i="1"/>
  <c r="I78" i="1"/>
  <c r="M44" i="1"/>
  <c r="P80" i="1"/>
  <c r="I43" i="1"/>
  <c r="P40" i="1"/>
  <c r="I79" i="1"/>
  <c r="P28" i="1"/>
  <c r="G39" i="1"/>
  <c r="P93" i="1"/>
  <c r="I59" i="1"/>
  <c r="N80" i="1"/>
  <c r="I29" i="1"/>
  <c r="N26" i="1"/>
  <c r="N79" i="1"/>
  <c r="P36" i="1"/>
  <c r="I36" i="1"/>
  <c r="G29" i="1"/>
  <c r="P29" i="1"/>
  <c r="G79" i="1"/>
  <c r="M78" i="1"/>
  <c r="P59" i="1"/>
  <c r="N41" i="1"/>
  <c r="G43" i="1"/>
  <c r="P79" i="1"/>
  <c r="N44" i="1"/>
  <c r="M40" i="1"/>
  <c r="M43" i="1"/>
  <c r="N29" i="1"/>
  <c r="N28" i="1"/>
  <c r="N82" i="1"/>
  <c r="N42" i="1"/>
  <c r="F95" i="1"/>
  <c r="P42" i="1"/>
  <c r="G40" i="1"/>
  <c r="M28" i="1"/>
  <c r="G78" i="1"/>
  <c r="F48" i="1"/>
  <c r="I93" i="1"/>
  <c r="G27" i="1"/>
  <c r="G36" i="1"/>
  <c r="M42" i="1"/>
  <c r="G59" i="1"/>
  <c r="M36" i="1"/>
  <c r="N36" i="1"/>
  <c r="N78" i="1"/>
  <c r="I35" i="1"/>
  <c r="G42" i="1"/>
  <c r="M27" i="1"/>
  <c r="N35" i="1"/>
  <c r="N93" i="1"/>
  <c r="N40" i="1"/>
  <c r="G35" i="1"/>
  <c r="G44" i="1"/>
  <c r="M82" i="1"/>
  <c r="M35" i="1"/>
  <c r="P94" i="1"/>
  <c r="M39" i="1"/>
  <c r="G93" i="1"/>
  <c r="N59" i="1"/>
  <c r="M29" i="1"/>
  <c r="P35" i="1"/>
  <c r="P82" i="1"/>
  <c r="L428" i="2"/>
  <c r="L178" i="2"/>
  <c r="L345" i="2"/>
  <c r="L94" i="2"/>
  <c r="A10" i="13"/>
  <c r="F9" i="13"/>
  <c r="I47" i="1"/>
  <c r="M47" i="1"/>
  <c r="N47" i="1"/>
  <c r="P47" i="1"/>
  <c r="G47" i="1"/>
  <c r="AC6" i="11"/>
  <c r="B20" i="11"/>
  <c r="D20" i="11" s="1"/>
  <c r="B9" i="11"/>
  <c r="D9" i="11" s="1"/>
  <c r="D8" i="11"/>
  <c r="P48" i="1" l="1"/>
  <c r="I48" i="1"/>
  <c r="G48" i="1"/>
  <c r="M48" i="1"/>
  <c r="L346" i="2"/>
  <c r="L95" i="2"/>
  <c r="L179" i="2"/>
  <c r="L429" i="2"/>
  <c r="A11" i="13"/>
  <c r="F10" i="13"/>
  <c r="G50" i="1"/>
  <c r="G32" i="1"/>
  <c r="B21" i="11"/>
  <c r="D21" i="11" s="1"/>
  <c r="B10" i="11"/>
  <c r="D10" i="11" s="1"/>
  <c r="D13" i="11"/>
  <c r="L347" i="2" l="1"/>
  <c r="L96" i="2"/>
  <c r="L430" i="2"/>
  <c r="L180" i="2"/>
  <c r="A12" i="13"/>
  <c r="F11" i="13"/>
  <c r="M32" i="1"/>
  <c r="N17" i="1"/>
  <c r="P64" i="1"/>
  <c r="P32" i="1"/>
  <c r="I32" i="1"/>
  <c r="M16" i="1"/>
  <c r="P77" i="1"/>
  <c r="M17" i="1"/>
  <c r="N32" i="1"/>
  <c r="G17" i="1"/>
  <c r="P17" i="1"/>
  <c r="N77" i="1"/>
  <c r="I24" i="1"/>
  <c r="I106" i="1"/>
  <c r="P25" i="1"/>
  <c r="I17" i="1"/>
  <c r="P72" i="1"/>
  <c r="G9" i="1"/>
  <c r="G72" i="1"/>
  <c r="I72" i="1"/>
  <c r="G13" i="1"/>
  <c r="N54" i="1"/>
  <c r="P92" i="1"/>
  <c r="P9" i="1"/>
  <c r="M53" i="1"/>
  <c r="I70" i="1"/>
  <c r="G75" i="1"/>
  <c r="P71" i="1"/>
  <c r="P61" i="1"/>
  <c r="I85" i="1"/>
  <c r="G53" i="1"/>
  <c r="G105" i="1"/>
  <c r="G58" i="1"/>
  <c r="I38" i="1"/>
  <c r="P53" i="1"/>
  <c r="M10" i="1"/>
  <c r="G86" i="1"/>
  <c r="G77" i="1"/>
  <c r="N15" i="1"/>
  <c r="P10" i="1"/>
  <c r="I77" i="1"/>
  <c r="I92" i="1"/>
  <c r="N72" i="1"/>
  <c r="I21" i="1"/>
  <c r="I105" i="1"/>
  <c r="P54" i="1"/>
  <c r="I75" i="1"/>
  <c r="N70" i="1"/>
  <c r="N38" i="1"/>
  <c r="G16" i="1"/>
  <c r="N61" i="1"/>
  <c r="I53" i="1"/>
  <c r="M71" i="1"/>
  <c r="P14" i="1"/>
  <c r="G76" i="1"/>
  <c r="M14" i="1"/>
  <c r="P57" i="1"/>
  <c r="G24" i="1"/>
  <c r="M105" i="1"/>
  <c r="I22" i="1"/>
  <c r="I16" i="1"/>
  <c r="I86" i="1"/>
  <c r="P13" i="1"/>
  <c r="G106" i="1"/>
  <c r="P38" i="1"/>
  <c r="P86" i="1"/>
  <c r="M58" i="1"/>
  <c r="N64" i="1"/>
  <c r="P106" i="1"/>
  <c r="M92" i="1"/>
  <c r="M95" i="1" s="1"/>
  <c r="I10" i="1"/>
  <c r="N86" i="1"/>
  <c r="G71" i="1"/>
  <c r="G22" i="1"/>
  <c r="G70" i="1"/>
  <c r="G14" i="1"/>
  <c r="M22" i="1"/>
  <c r="I60" i="1"/>
  <c r="N14" i="1"/>
  <c r="N57" i="1"/>
  <c r="N60" i="1"/>
  <c r="P24" i="1"/>
  <c r="N92" i="1"/>
  <c r="P67" i="1"/>
  <c r="I61" i="1"/>
  <c r="M70" i="1"/>
  <c r="N67" i="1"/>
  <c r="I76" i="1"/>
  <c r="G23" i="1"/>
  <c r="M76" i="1"/>
  <c r="M25" i="1"/>
  <c r="I89" i="1"/>
  <c r="N9" i="1"/>
  <c r="M24" i="1"/>
  <c r="P21" i="1"/>
  <c r="M89" i="1"/>
  <c r="N16" i="1"/>
  <c r="G97" i="1"/>
  <c r="I9" i="1"/>
  <c r="I64" i="1"/>
  <c r="N106" i="1"/>
  <c r="G21" i="1"/>
  <c r="I50" i="1"/>
  <c r="G15" i="1"/>
  <c r="I23" i="1"/>
  <c r="M13" i="1"/>
  <c r="G57" i="1"/>
  <c r="N58" i="1"/>
  <c r="G67" i="1"/>
  <c r="P76" i="1"/>
  <c r="G10" i="1"/>
  <c r="I54" i="1"/>
  <c r="P22" i="1"/>
  <c r="N75" i="1"/>
  <c r="N24" i="1"/>
  <c r="M106" i="1"/>
  <c r="M21" i="1"/>
  <c r="N105" i="1"/>
  <c r="P23" i="1"/>
  <c r="N25" i="1"/>
  <c r="P85" i="1"/>
  <c r="I13" i="1"/>
  <c r="G60" i="1"/>
  <c r="N23" i="1"/>
  <c r="N22" i="1"/>
  <c r="G85" i="1"/>
  <c r="M60" i="1"/>
  <c r="I58" i="1"/>
  <c r="G89" i="1"/>
  <c r="P16" i="1"/>
  <c r="M97" i="1"/>
  <c r="P60" i="1"/>
  <c r="M72" i="1"/>
  <c r="M38" i="1"/>
  <c r="M15" i="1"/>
  <c r="N89" i="1"/>
  <c r="G61" i="1"/>
  <c r="P70" i="1"/>
  <c r="I71" i="1"/>
  <c r="P50" i="1"/>
  <c r="M23" i="1"/>
  <c r="G54" i="1"/>
  <c r="P89" i="1"/>
  <c r="M85" i="1"/>
  <c r="P58" i="1"/>
  <c r="M64" i="1"/>
  <c r="N50" i="1"/>
  <c r="G92" i="1"/>
  <c r="N76" i="1"/>
  <c r="M54" i="1"/>
  <c r="P97" i="1"/>
  <c r="P75" i="1"/>
  <c r="M9" i="1"/>
  <c r="N53" i="1"/>
  <c r="M67" i="1"/>
  <c r="I15" i="1"/>
  <c r="P105" i="1"/>
  <c r="I97" i="1"/>
  <c r="M61" i="1"/>
  <c r="N71" i="1"/>
  <c r="G64" i="1"/>
  <c r="G25" i="1"/>
  <c r="M86" i="1"/>
  <c r="N97" i="1"/>
  <c r="I57" i="1"/>
  <c r="M75" i="1"/>
  <c r="I14" i="1"/>
  <c r="N21" i="1"/>
  <c r="G38" i="1"/>
  <c r="I67" i="1"/>
  <c r="M50" i="1"/>
  <c r="P15" i="1"/>
  <c r="N10" i="1"/>
  <c r="I25" i="1"/>
  <c r="N85" i="1"/>
  <c r="N13" i="1"/>
  <c r="M57" i="1"/>
  <c r="M77" i="1"/>
  <c r="B22" i="11"/>
  <c r="D22" i="11" s="1"/>
  <c r="B11" i="11"/>
  <c r="D11" i="11" s="1"/>
  <c r="D14" i="11"/>
  <c r="A13" i="13" l="1"/>
  <c r="F12" i="13"/>
  <c r="B23" i="11"/>
  <c r="D23" i="11" s="1"/>
  <c r="B12" i="11"/>
  <c r="D15" i="11"/>
  <c r="B13" i="11" l="1"/>
  <c r="B14" i="11" s="1"/>
  <c r="B15" i="11" s="1"/>
  <c r="B16" i="11" s="1"/>
  <c r="B17" i="11" s="1"/>
  <c r="D12" i="11"/>
  <c r="L348" i="2"/>
  <c r="L97" i="2"/>
  <c r="L431" i="2"/>
  <c r="L181" i="2"/>
  <c r="A14" i="13"/>
  <c r="F13" i="13"/>
  <c r="I18" i="1"/>
  <c r="P18" i="1"/>
  <c r="N18" i="1"/>
  <c r="B24" i="11"/>
  <c r="D24" i="11" s="1"/>
  <c r="D16" i="11"/>
  <c r="A15" i="13" l="1"/>
  <c r="F14" i="13"/>
  <c r="L98" i="2"/>
  <c r="L182" i="2"/>
  <c r="L349" i="2"/>
  <c r="L432" i="2"/>
  <c r="B25" i="11"/>
  <c r="D25" i="11" s="1"/>
  <c r="G18" i="1"/>
  <c r="M18" i="1"/>
  <c r="A16" i="13" l="1"/>
  <c r="F15" i="13"/>
  <c r="B26" i="11"/>
  <c r="D26" i="11" s="1"/>
  <c r="L99" i="2" l="1"/>
  <c r="L183" i="2"/>
  <c r="L350" i="2"/>
  <c r="L433" i="2"/>
  <c r="A17" i="13"/>
  <c r="F16" i="13"/>
  <c r="B27" i="11"/>
  <c r="D27" i="11" s="1"/>
  <c r="B28" i="11" l="1"/>
  <c r="D28" i="11" s="1"/>
  <c r="A18" i="13"/>
  <c r="F17" i="13"/>
  <c r="L351" i="2"/>
  <c r="L100" i="2"/>
  <c r="L184" i="2"/>
  <c r="L434" i="2"/>
  <c r="B29" i="11" l="1"/>
  <c r="D29" i="11" s="1"/>
  <c r="L101" i="2"/>
  <c r="L185" i="2"/>
  <c r="L435" i="2"/>
  <c r="L352" i="2"/>
  <c r="A19" i="13"/>
  <c r="F18" i="13"/>
  <c r="K479" i="2" l="1"/>
  <c r="I479" i="2" s="1"/>
  <c r="J479" i="2" s="1"/>
  <c r="K481" i="2"/>
  <c r="I481" i="2" s="1"/>
  <c r="J481" i="2" s="1"/>
  <c r="K480" i="2"/>
  <c r="I480" i="2" s="1"/>
  <c r="J480" i="2" s="1"/>
  <c r="K438" i="2"/>
  <c r="I438" i="2" s="1"/>
  <c r="J438" i="2" s="1"/>
  <c r="K461" i="2"/>
  <c r="I461" i="2" s="1"/>
  <c r="J461" i="2" s="1"/>
  <c r="K456" i="2"/>
  <c r="I456" i="2" s="1"/>
  <c r="J456" i="2" s="1"/>
  <c r="K463" i="2"/>
  <c r="I463" i="2" s="1"/>
  <c r="J463" i="2" s="1"/>
  <c r="K475" i="2"/>
  <c r="I475" i="2" s="1"/>
  <c r="J475" i="2" s="1"/>
  <c r="K474" i="2"/>
  <c r="I474" i="2" s="1"/>
  <c r="J474" i="2" s="1"/>
  <c r="K443" i="2"/>
  <c r="I443" i="2" s="1"/>
  <c r="J443" i="2" s="1"/>
  <c r="K441" i="2"/>
  <c r="I441" i="2" s="1"/>
  <c r="J441" i="2" s="1"/>
  <c r="K477" i="2"/>
  <c r="I477" i="2" s="1"/>
  <c r="J477" i="2" s="1"/>
  <c r="K455" i="2"/>
  <c r="I455" i="2" s="1"/>
  <c r="J455" i="2" s="1"/>
  <c r="K447" i="2"/>
  <c r="I447" i="2" s="1"/>
  <c r="J447" i="2" s="1"/>
  <c r="K448" i="2"/>
  <c r="I448" i="2" s="1"/>
  <c r="J448" i="2" s="1"/>
  <c r="K478" i="2"/>
  <c r="I478" i="2" s="1"/>
  <c r="J478" i="2" s="1"/>
  <c r="K464" i="2"/>
  <c r="I464" i="2" s="1"/>
  <c r="J464" i="2" s="1"/>
  <c r="K445" i="2"/>
  <c r="I445" i="2" s="1"/>
  <c r="J445" i="2" s="1"/>
  <c r="K451" i="2"/>
  <c r="I451" i="2" s="1"/>
  <c r="J451" i="2" s="1"/>
  <c r="K466" i="2"/>
  <c r="I466" i="2" s="1"/>
  <c r="J466" i="2" s="1"/>
  <c r="K459" i="2"/>
  <c r="I459" i="2" s="1"/>
  <c r="J459" i="2" s="1"/>
  <c r="K453" i="2"/>
  <c r="I453" i="2" s="1"/>
  <c r="J453" i="2" s="1"/>
  <c r="K458" i="2"/>
  <c r="I458" i="2" s="1"/>
  <c r="J458" i="2" s="1"/>
  <c r="K473" i="2"/>
  <c r="I473" i="2" s="1"/>
  <c r="J473" i="2" s="1"/>
  <c r="K440" i="2"/>
  <c r="I440" i="2" s="1"/>
  <c r="J440" i="2" s="1"/>
  <c r="K457" i="2"/>
  <c r="I457" i="2" s="1"/>
  <c r="J457" i="2" s="1"/>
  <c r="K449" i="2"/>
  <c r="I449" i="2" s="1"/>
  <c r="J449" i="2" s="1"/>
  <c r="K469" i="2"/>
  <c r="I469" i="2" s="1"/>
  <c r="J469" i="2" s="1"/>
  <c r="K470" i="2"/>
  <c r="I470" i="2" s="1"/>
  <c r="J470" i="2" s="1"/>
  <c r="K476" i="2"/>
  <c r="I476" i="2" s="1"/>
  <c r="J476" i="2" s="1"/>
  <c r="K465" i="2"/>
  <c r="I465" i="2" s="1"/>
  <c r="J465" i="2" s="1"/>
  <c r="K454" i="2"/>
  <c r="I454" i="2" s="1"/>
  <c r="J454" i="2" s="1"/>
  <c r="K460" i="2"/>
  <c r="I460" i="2" s="1"/>
  <c r="J460" i="2" s="1"/>
  <c r="K452" i="2"/>
  <c r="I452" i="2" s="1"/>
  <c r="J452" i="2" s="1"/>
  <c r="K471" i="2"/>
  <c r="I471" i="2" s="1"/>
  <c r="J471" i="2" s="1"/>
  <c r="K462" i="2"/>
  <c r="I462" i="2" s="1"/>
  <c r="J462" i="2" s="1"/>
  <c r="K468" i="2"/>
  <c r="I468" i="2" s="1"/>
  <c r="J468" i="2" s="1"/>
  <c r="K439" i="2"/>
  <c r="I439" i="2" s="1"/>
  <c r="J439" i="2" s="1"/>
  <c r="K472" i="2"/>
  <c r="I472" i="2" s="1"/>
  <c r="J472" i="2" s="1"/>
  <c r="K436" i="2"/>
  <c r="I436" i="2" s="1"/>
  <c r="J436" i="2" s="1"/>
  <c r="K442" i="2"/>
  <c r="I442" i="2" s="1"/>
  <c r="J442" i="2" s="1"/>
  <c r="K467" i="2"/>
  <c r="I467" i="2" s="1"/>
  <c r="J467" i="2" s="1"/>
  <c r="K446" i="2"/>
  <c r="I446" i="2" s="1"/>
  <c r="J446" i="2" s="1"/>
  <c r="K450" i="2"/>
  <c r="I450" i="2" s="1"/>
  <c r="J450" i="2" s="1"/>
  <c r="K444" i="2"/>
  <c r="I444" i="2" s="1"/>
  <c r="J444" i="2" s="1"/>
  <c r="K437" i="2"/>
  <c r="I437" i="2" s="1"/>
  <c r="J437" i="2" s="1"/>
  <c r="B30" i="11"/>
  <c r="D30" i="11" s="1"/>
  <c r="L200" i="2"/>
  <c r="L102" i="2"/>
  <c r="L353" i="2"/>
  <c r="A20" i="13"/>
  <c r="F19" i="13"/>
  <c r="B31" i="11" l="1"/>
  <c r="D31" i="11" s="1"/>
  <c r="A21" i="13"/>
  <c r="F20" i="13"/>
  <c r="L201" i="2"/>
  <c r="L354" i="2"/>
  <c r="L103" i="2"/>
  <c r="L90" i="1"/>
  <c r="K95" i="1"/>
  <c r="K90" i="1"/>
  <c r="J95" i="1"/>
  <c r="J90" i="1"/>
  <c r="L65" i="1"/>
  <c r="L68" i="1"/>
  <c r="K65" i="1"/>
  <c r="K68" i="1"/>
  <c r="J68" i="1"/>
  <c r="J65" i="1"/>
  <c r="L33" i="1"/>
  <c r="K33" i="1"/>
  <c r="L95" i="1"/>
  <c r="J33" i="1"/>
  <c r="B32" i="11" l="1"/>
  <c r="D32" i="11" s="1"/>
  <c r="L355" i="2"/>
  <c r="L202" i="2"/>
  <c r="L104" i="2"/>
  <c r="A22" i="13"/>
  <c r="F21" i="13"/>
  <c r="M33" i="1"/>
  <c r="M68" i="1"/>
  <c r="M90" i="1"/>
  <c r="M65" i="1"/>
  <c r="J55" i="1"/>
  <c r="L87" i="1"/>
  <c r="J87" i="1"/>
  <c r="L55" i="1"/>
  <c r="J73" i="1"/>
  <c r="J51" i="1"/>
  <c r="J103" i="1"/>
  <c r="K55" i="1"/>
  <c r="J45" i="1"/>
  <c r="F68" i="1"/>
  <c r="E33" i="1"/>
  <c r="N33" i="1" s="1"/>
  <c r="E103" i="1"/>
  <c r="F33" i="1"/>
  <c r="H33" i="1"/>
  <c r="N95" i="1"/>
  <c r="H107" i="1"/>
  <c r="J107" i="1"/>
  <c r="K103" i="1"/>
  <c r="E30" i="1"/>
  <c r="E62" i="1"/>
  <c r="K87" i="1"/>
  <c r="L45" i="1"/>
  <c r="K19" i="1"/>
  <c r="L73" i="1"/>
  <c r="F30" i="1"/>
  <c r="F51" i="1"/>
  <c r="H30" i="1"/>
  <c r="H103" i="1"/>
  <c r="O68" i="1"/>
  <c r="E68" i="1"/>
  <c r="N68" i="1" s="1"/>
  <c r="O103" i="1"/>
  <c r="K45" i="1"/>
  <c r="F62" i="1"/>
  <c r="E83" i="1"/>
  <c r="L83" i="1"/>
  <c r="H68" i="1"/>
  <c r="F107" i="1"/>
  <c r="E87" i="1"/>
  <c r="F73" i="1"/>
  <c r="E65" i="1"/>
  <c r="N65" i="1" s="1"/>
  <c r="L30" i="1"/>
  <c r="E90" i="1"/>
  <c r="N90" i="1" s="1"/>
  <c r="L51" i="1"/>
  <c r="L19" i="1"/>
  <c r="O51" i="1"/>
  <c r="H55" i="1"/>
  <c r="F19" i="1"/>
  <c r="O73" i="1"/>
  <c r="K107" i="1"/>
  <c r="O65" i="1"/>
  <c r="H87" i="1"/>
  <c r="H73" i="1"/>
  <c r="K30" i="1"/>
  <c r="F65" i="1"/>
  <c r="H65" i="1"/>
  <c r="E55" i="1"/>
  <c r="O19" i="1"/>
  <c r="E51" i="1"/>
  <c r="O83" i="1"/>
  <c r="E19" i="1"/>
  <c r="H51" i="1"/>
  <c r="K62" i="1"/>
  <c r="H83" i="1"/>
  <c r="E73" i="1"/>
  <c r="F87" i="1"/>
  <c r="O107" i="1"/>
  <c r="K73" i="1"/>
  <c r="O45" i="1"/>
  <c r="O55" i="1"/>
  <c r="O87" i="1"/>
  <c r="E45" i="1"/>
  <c r="J62" i="1"/>
  <c r="E107" i="1"/>
  <c r="F83" i="1"/>
  <c r="L107" i="1"/>
  <c r="K83" i="1"/>
  <c r="J30" i="1"/>
  <c r="H19" i="1"/>
  <c r="O33" i="1"/>
  <c r="F90" i="1"/>
  <c r="H62" i="1"/>
  <c r="F45" i="1"/>
  <c r="F55" i="1"/>
  <c r="H90" i="1"/>
  <c r="J19" i="1"/>
  <c r="K51" i="1"/>
  <c r="O30" i="1"/>
  <c r="O90" i="1"/>
  <c r="F103" i="1"/>
  <c r="H45" i="1"/>
  <c r="O62" i="1"/>
  <c r="L62" i="1"/>
  <c r="J83" i="1"/>
  <c r="L103" i="1"/>
  <c r="B33" i="11" l="1"/>
  <c r="D33" i="11" s="1"/>
  <c r="L105" i="2"/>
  <c r="L356" i="2"/>
  <c r="L203" i="2"/>
  <c r="A23" i="13"/>
  <c r="F22" i="13"/>
  <c r="P65" i="1"/>
  <c r="I19" i="1"/>
  <c r="I33" i="1"/>
  <c r="P30" i="1"/>
  <c r="P73" i="1"/>
  <c r="I95" i="1"/>
  <c r="I83" i="1"/>
  <c r="P83" i="1"/>
  <c r="G33" i="1"/>
  <c r="P19" i="1"/>
  <c r="G19" i="1"/>
  <c r="I103" i="1"/>
  <c r="G83" i="1"/>
  <c r="I30" i="1"/>
  <c r="I65" i="1"/>
  <c r="G90" i="1"/>
  <c r="G65" i="1"/>
  <c r="I90" i="1"/>
  <c r="P90" i="1"/>
  <c r="P33" i="1"/>
  <c r="P87" i="1"/>
  <c r="G103" i="1"/>
  <c r="I62" i="1"/>
  <c r="P103" i="1"/>
  <c r="I55" i="1"/>
  <c r="P68" i="1"/>
  <c r="N62" i="1"/>
  <c r="M62" i="1"/>
  <c r="G107" i="1"/>
  <c r="N30" i="1"/>
  <c r="M30" i="1"/>
  <c r="M103" i="1"/>
  <c r="N103" i="1"/>
  <c r="N51" i="1"/>
  <c r="M51" i="1"/>
  <c r="P107" i="1"/>
  <c r="M55" i="1"/>
  <c r="N55" i="1"/>
  <c r="P51" i="1"/>
  <c r="M83" i="1"/>
  <c r="N83" i="1"/>
  <c r="I68" i="1"/>
  <c r="N73" i="1"/>
  <c r="M73" i="1"/>
  <c r="I73" i="1"/>
  <c r="M19" i="1"/>
  <c r="N19" i="1"/>
  <c r="P55" i="1"/>
  <c r="P45" i="1"/>
  <c r="P62" i="1"/>
  <c r="I51" i="1"/>
  <c r="I87" i="1"/>
  <c r="P95" i="1"/>
  <c r="N107" i="1"/>
  <c r="M107" i="1"/>
  <c r="M45" i="1"/>
  <c r="N45" i="1"/>
  <c r="M87" i="1"/>
  <c r="N87" i="1"/>
  <c r="G87" i="1"/>
  <c r="I45" i="1"/>
  <c r="I107" i="1"/>
  <c r="G73" i="1"/>
  <c r="G62" i="1"/>
  <c r="G68" i="1"/>
  <c r="G30" i="1"/>
  <c r="G51" i="1"/>
  <c r="G55" i="1"/>
  <c r="G45" i="1"/>
  <c r="G95" i="1"/>
  <c r="B34" i="11" l="1"/>
  <c r="D34" i="11" s="1"/>
  <c r="A24" i="13"/>
  <c r="F23" i="13"/>
  <c r="B35" i="11" l="1"/>
  <c r="A25" i="13"/>
  <c r="F24" i="13"/>
  <c r="D35" i="11" l="1"/>
  <c r="B36" i="11"/>
  <c r="L106" i="2"/>
  <c r="L204" i="2"/>
  <c r="L357" i="2"/>
  <c r="A26" i="13"/>
  <c r="F25" i="13"/>
  <c r="D36" i="11" l="1"/>
  <c r="B37" i="11"/>
  <c r="K145" i="2"/>
  <c r="I145" i="2" s="1"/>
  <c r="J145" i="2" s="1"/>
  <c r="K144" i="2"/>
  <c r="I144" i="2" s="1"/>
  <c r="J144" i="2" s="1"/>
  <c r="K143" i="2"/>
  <c r="I143" i="2" s="1"/>
  <c r="J143" i="2" s="1"/>
  <c r="K140" i="2"/>
  <c r="I140" i="2" s="1"/>
  <c r="J140" i="2" s="1"/>
  <c r="K137" i="2"/>
  <c r="I137" i="2" s="1"/>
  <c r="J137" i="2" s="1"/>
  <c r="K138" i="2"/>
  <c r="I138" i="2" s="1"/>
  <c r="J138" i="2" s="1"/>
  <c r="K141" i="2"/>
  <c r="I141" i="2" s="1"/>
  <c r="J141" i="2" s="1"/>
  <c r="K135" i="2"/>
  <c r="I135" i="2" s="1"/>
  <c r="J135" i="2" s="1"/>
  <c r="K139" i="2"/>
  <c r="I139" i="2" s="1"/>
  <c r="J139" i="2" s="1"/>
  <c r="K142" i="2"/>
  <c r="I142" i="2" s="1"/>
  <c r="J142" i="2" s="1"/>
  <c r="K136" i="2"/>
  <c r="I136" i="2" s="1"/>
  <c r="J136" i="2" s="1"/>
  <c r="K127" i="2"/>
  <c r="I127" i="2" s="1"/>
  <c r="J127" i="2" s="1"/>
  <c r="K133" i="2"/>
  <c r="I133" i="2" s="1"/>
  <c r="J133" i="2" s="1"/>
  <c r="K131" i="2"/>
  <c r="I131" i="2" s="1"/>
  <c r="J131" i="2" s="1"/>
  <c r="K132" i="2"/>
  <c r="I132" i="2" s="1"/>
  <c r="J132" i="2" s="1"/>
  <c r="K126" i="2"/>
  <c r="I126" i="2" s="1"/>
  <c r="J126" i="2" s="1"/>
  <c r="K125" i="2"/>
  <c r="I125" i="2" s="1"/>
  <c r="J125" i="2" s="1"/>
  <c r="K128" i="2"/>
  <c r="I128" i="2" s="1"/>
  <c r="J128" i="2" s="1"/>
  <c r="K134" i="2"/>
  <c r="I134" i="2" s="1"/>
  <c r="J134" i="2" s="1"/>
  <c r="K129" i="2"/>
  <c r="I129" i="2" s="1"/>
  <c r="J129" i="2" s="1"/>
  <c r="K130" i="2"/>
  <c r="I130" i="2" s="1"/>
  <c r="J130" i="2" s="1"/>
  <c r="K124" i="2"/>
  <c r="I124" i="2" s="1"/>
  <c r="J124" i="2" s="1"/>
  <c r="K119" i="2"/>
  <c r="I119" i="2" s="1"/>
  <c r="J119" i="2" s="1"/>
  <c r="K117" i="2"/>
  <c r="I117" i="2" s="1"/>
  <c r="J117" i="2" s="1"/>
  <c r="K121" i="2"/>
  <c r="I121" i="2" s="1"/>
  <c r="J121" i="2" s="1"/>
  <c r="K122" i="2"/>
  <c r="I122" i="2" s="1"/>
  <c r="J122" i="2" s="1"/>
  <c r="K123" i="2"/>
  <c r="I123" i="2" s="1"/>
  <c r="J123" i="2" s="1"/>
  <c r="K118" i="2"/>
  <c r="I118" i="2" s="1"/>
  <c r="J118" i="2" s="1"/>
  <c r="K120" i="2"/>
  <c r="I120" i="2" s="1"/>
  <c r="J120" i="2" s="1"/>
  <c r="K115" i="2"/>
  <c r="I115" i="2" s="1"/>
  <c r="J115" i="2" s="1"/>
  <c r="K109" i="2"/>
  <c r="I109" i="2" s="1"/>
  <c r="J109" i="2" s="1"/>
  <c r="K110" i="2"/>
  <c r="I110" i="2" s="1"/>
  <c r="J110" i="2" s="1"/>
  <c r="K113" i="2"/>
  <c r="I113" i="2" s="1"/>
  <c r="J113" i="2" s="1"/>
  <c r="K112" i="2"/>
  <c r="I112" i="2" s="1"/>
  <c r="J112" i="2" s="1"/>
  <c r="K114" i="2"/>
  <c r="I114" i="2" s="1"/>
  <c r="J114" i="2" s="1"/>
  <c r="K111" i="2"/>
  <c r="I111" i="2" s="1"/>
  <c r="J111" i="2" s="1"/>
  <c r="K116" i="2"/>
  <c r="I116" i="2" s="1"/>
  <c r="J116" i="2" s="1"/>
  <c r="K108" i="2"/>
  <c r="I108" i="2" s="1"/>
  <c r="J108" i="2" s="1"/>
  <c r="K107" i="2"/>
  <c r="I107" i="2" s="1"/>
  <c r="J107" i="2" s="1"/>
  <c r="L358" i="2"/>
  <c r="L205" i="2"/>
  <c r="A27" i="13"/>
  <c r="F26" i="13"/>
  <c r="D37" i="11" l="1"/>
  <c r="B38" i="11"/>
  <c r="L359" i="2"/>
  <c r="L206" i="2"/>
  <c r="F27" i="13"/>
  <c r="A28" i="13"/>
  <c r="D38" i="11" l="1"/>
  <c r="B39" i="11"/>
  <c r="A29" i="13"/>
  <c r="F28" i="13"/>
  <c r="L360" i="2"/>
  <c r="L207" i="2"/>
  <c r="D39" i="11" l="1"/>
  <c r="B40" i="11"/>
  <c r="A30" i="13"/>
  <c r="F29" i="13"/>
  <c r="D40" i="11" l="1"/>
  <c r="B41" i="11"/>
  <c r="A31" i="13"/>
  <c r="F30" i="13"/>
  <c r="L208" i="2"/>
  <c r="L375" i="2"/>
  <c r="D41" i="11" l="1"/>
  <c r="B42" i="11"/>
  <c r="L209" i="2"/>
  <c r="A32" i="13"/>
  <c r="F31" i="13"/>
  <c r="D42" i="11" l="1"/>
  <c r="B43" i="11"/>
  <c r="A33" i="13"/>
  <c r="F32" i="13"/>
  <c r="L210" i="2"/>
  <c r="L376" i="2"/>
  <c r="D43" i="11" l="1"/>
  <c r="B44" i="11"/>
  <c r="A34" i="13"/>
  <c r="F33" i="13"/>
  <c r="D44" i="11" l="1"/>
  <c r="B45" i="11"/>
  <c r="L211" i="2"/>
  <c r="L377" i="2"/>
  <c r="A35" i="13"/>
  <c r="F34" i="13"/>
  <c r="D45" i="11" l="1"/>
  <c r="B46" i="11"/>
  <c r="L212" i="2"/>
  <c r="L378" i="2"/>
  <c r="A36" i="13"/>
  <c r="F35" i="13"/>
  <c r="D46" i="11" l="1"/>
  <c r="B47" i="11"/>
  <c r="A37" i="13"/>
  <c r="F36" i="13"/>
  <c r="L213" i="2"/>
  <c r="L379" i="2"/>
  <c r="D47" i="11" l="1"/>
  <c r="B48" i="11"/>
  <c r="L380" i="2"/>
  <c r="L214" i="2"/>
  <c r="A38" i="13"/>
  <c r="F37" i="13"/>
  <c r="D48" i="11" l="1"/>
  <c r="B49" i="11"/>
  <c r="A39" i="13"/>
  <c r="L381" i="2"/>
  <c r="L215" i="2"/>
  <c r="D49" i="11" l="1"/>
  <c r="B50" i="11"/>
  <c r="A40" i="13"/>
  <c r="D50" i="11" l="1"/>
  <c r="B51" i="11"/>
  <c r="A41" i="13"/>
  <c r="L216" i="2"/>
  <c r="L382" i="2"/>
  <c r="D51" i="11" l="1"/>
  <c r="B52" i="11"/>
  <c r="L217" i="2"/>
  <c r="L383" i="2"/>
  <c r="A42" i="13"/>
  <c r="D52" i="11" l="1"/>
  <c r="B53" i="11"/>
  <c r="L384" i="2"/>
  <c r="L218" i="2"/>
  <c r="A43" i="13"/>
  <c r="D53" i="11" l="1"/>
  <c r="B54" i="11"/>
  <c r="L385" i="2"/>
  <c r="L219" i="2"/>
  <c r="A44" i="13"/>
  <c r="D54" i="11" l="1"/>
  <c r="B55" i="11"/>
  <c r="L220" i="2"/>
  <c r="L386" i="2"/>
  <c r="A45" i="13"/>
  <c r="D55" i="11" l="1"/>
  <c r="B56" i="11"/>
  <c r="L387" i="2"/>
  <c r="L221" i="2"/>
  <c r="A46" i="13"/>
  <c r="D56" i="11" l="1"/>
  <c r="B57" i="11"/>
  <c r="L222" i="2"/>
  <c r="L388" i="2"/>
  <c r="A47" i="13"/>
  <c r="D57" i="11" l="1"/>
  <c r="B58" i="11"/>
  <c r="L389" i="2"/>
  <c r="L223" i="2"/>
  <c r="A48" i="13"/>
  <c r="D58" i="11" l="1"/>
  <c r="B59" i="11"/>
  <c r="D59" i="11" s="1"/>
  <c r="A49" i="13"/>
  <c r="B60" i="11"/>
  <c r="D60" i="11" s="1"/>
  <c r="A50" i="13" l="1"/>
  <c r="L390" i="2"/>
  <c r="L224" i="2"/>
  <c r="B61" i="11"/>
  <c r="D61" i="11" s="1"/>
  <c r="L391" i="2" l="1"/>
  <c r="L225" i="2"/>
  <c r="A51" i="13"/>
  <c r="B62" i="11"/>
  <c r="D62" i="11" s="1"/>
  <c r="L392" i="2" l="1"/>
  <c r="L226" i="2"/>
  <c r="A52" i="13"/>
  <c r="B63" i="11"/>
  <c r="D63" i="11" s="1"/>
  <c r="L227" i="2" l="1"/>
  <c r="L393" i="2"/>
  <c r="A53" i="13"/>
  <c r="B64" i="11"/>
  <c r="D64" i="11" s="1"/>
  <c r="A54" i="13" l="1"/>
  <c r="B65" i="11"/>
  <c r="D65" i="11" s="1"/>
  <c r="A55" i="13" l="1"/>
  <c r="B66" i="11"/>
  <c r="D66" i="11" s="1"/>
  <c r="A56" i="13" l="1"/>
  <c r="B67" i="11"/>
  <c r="D67" i="11" s="1"/>
  <c r="A57" i="13" l="1"/>
  <c r="B68" i="11"/>
  <c r="D68" i="11" s="1"/>
  <c r="L394" i="2" l="1"/>
  <c r="L228" i="2"/>
  <c r="A58" i="13"/>
  <c r="B69" i="11"/>
  <c r="D69" i="11" s="1"/>
  <c r="L229" i="2" l="1"/>
  <c r="L395" i="2"/>
  <c r="A59" i="13"/>
  <c r="B70" i="11"/>
  <c r="D70" i="11" s="1"/>
  <c r="L396" i="2" l="1"/>
  <c r="A60" i="13"/>
  <c r="B71" i="11"/>
  <c r="A61" i="13" l="1"/>
  <c r="L397" i="2"/>
  <c r="L231" i="2"/>
  <c r="D71" i="11"/>
  <c r="B72" i="11"/>
  <c r="D72" i="11" l="1"/>
  <c r="B73" i="11"/>
  <c r="A62" i="13"/>
  <c r="L232" i="2"/>
  <c r="L398" i="2"/>
  <c r="D73" i="11" l="1"/>
  <c r="B74" i="11"/>
  <c r="A63" i="13"/>
  <c r="L233" i="2"/>
  <c r="L399" i="2"/>
  <c r="B75" i="11" l="1"/>
  <c r="D74" i="11"/>
  <c r="L234" i="2"/>
  <c r="L400" i="2"/>
  <c r="A64" i="13"/>
  <c r="D75" i="11" l="1"/>
  <c r="B76" i="11"/>
  <c r="A65" i="13"/>
  <c r="L235" i="2"/>
  <c r="L401" i="2"/>
  <c r="B77" i="11" l="1"/>
  <c r="D76" i="11"/>
  <c r="L236" i="2"/>
  <c r="L402" i="2"/>
  <c r="A66" i="13"/>
  <c r="D77" i="11" l="1"/>
  <c r="B78" i="11"/>
  <c r="A67" i="13"/>
  <c r="L403" i="2"/>
  <c r="L237" i="2"/>
  <c r="B79" i="11" l="1"/>
  <c r="D78" i="11"/>
  <c r="L404" i="2"/>
  <c r="L238" i="2"/>
  <c r="A68" i="13"/>
  <c r="D79" i="11" l="1"/>
  <c r="B80" i="11"/>
  <c r="L405" i="2"/>
  <c r="L239" i="2"/>
  <c r="A69" i="13"/>
  <c r="B81" i="11" l="1"/>
  <c r="D80" i="11"/>
  <c r="A70" i="13"/>
  <c r="L240" i="2"/>
  <c r="L406" i="2"/>
  <c r="D81" i="11" l="1"/>
  <c r="B82" i="11"/>
  <c r="L407" i="2"/>
  <c r="L241" i="2"/>
  <c r="A71" i="13"/>
  <c r="K405" i="2"/>
  <c r="I405" i="2" s="1"/>
  <c r="J405" i="2" s="1"/>
  <c r="K230" i="2" l="1"/>
  <c r="I230" i="2" s="1"/>
  <c r="J230" i="2" s="1"/>
  <c r="K177" i="2"/>
  <c r="K194" i="2"/>
  <c r="I194" i="2" s="1"/>
  <c r="J194" i="2" s="1"/>
  <c r="K195" i="2"/>
  <c r="I195" i="2" s="1"/>
  <c r="J195" i="2" s="1"/>
  <c r="K367" i="2"/>
  <c r="I367" i="2" s="1"/>
  <c r="J367" i="2" s="1"/>
  <c r="K363" i="2"/>
  <c r="I363" i="2" s="1"/>
  <c r="J363" i="2" s="1"/>
  <c r="K362" i="2"/>
  <c r="I362" i="2" s="1"/>
  <c r="J362" i="2" s="1"/>
  <c r="K369" i="2"/>
  <c r="I369" i="2" s="1"/>
  <c r="J369" i="2" s="1"/>
  <c r="K371" i="2"/>
  <c r="I371" i="2" s="1"/>
  <c r="J371" i="2" s="1"/>
  <c r="K365" i="2"/>
  <c r="I365" i="2" s="1"/>
  <c r="J365" i="2" s="1"/>
  <c r="K361" i="2"/>
  <c r="I361" i="2" s="1"/>
  <c r="J361" i="2" s="1"/>
  <c r="K364" i="2"/>
  <c r="I364" i="2" s="1"/>
  <c r="J364" i="2" s="1"/>
  <c r="K370" i="2"/>
  <c r="I370" i="2" s="1"/>
  <c r="J370" i="2" s="1"/>
  <c r="K374" i="2"/>
  <c r="I374" i="2" s="1"/>
  <c r="J374" i="2" s="1"/>
  <c r="K368" i="2"/>
  <c r="I368" i="2" s="1"/>
  <c r="J368" i="2" s="1"/>
  <c r="K366" i="2"/>
  <c r="I366" i="2" s="1"/>
  <c r="J366" i="2" s="1"/>
  <c r="K373" i="2"/>
  <c r="I373" i="2" s="1"/>
  <c r="J373" i="2" s="1"/>
  <c r="K372" i="2"/>
  <c r="I372" i="2" s="1"/>
  <c r="J372" i="2" s="1"/>
  <c r="K391" i="2"/>
  <c r="I391" i="2" s="1"/>
  <c r="J391" i="2" s="1"/>
  <c r="K404" i="2"/>
  <c r="I404" i="2" s="1"/>
  <c r="J404" i="2" s="1"/>
  <c r="K235" i="2"/>
  <c r="I235" i="2" s="1"/>
  <c r="J235" i="2" s="1"/>
  <c r="K191" i="2"/>
  <c r="I191" i="2" s="1"/>
  <c r="J191" i="2" s="1"/>
  <c r="K198" i="2"/>
  <c r="I198" i="2" s="1"/>
  <c r="J198" i="2" s="1"/>
  <c r="K196" i="2"/>
  <c r="I196" i="2" s="1"/>
  <c r="J196" i="2" s="1"/>
  <c r="K186" i="2"/>
  <c r="I186" i="2" s="1"/>
  <c r="J186" i="2" s="1"/>
  <c r="K190" i="2"/>
  <c r="I190" i="2" s="1"/>
  <c r="J190" i="2" s="1"/>
  <c r="K188" i="2"/>
  <c r="I188" i="2" s="1"/>
  <c r="J188" i="2" s="1"/>
  <c r="K193" i="2"/>
  <c r="I193" i="2" s="1"/>
  <c r="J193" i="2" s="1"/>
  <c r="K197" i="2"/>
  <c r="I197" i="2" s="1"/>
  <c r="J197" i="2" s="1"/>
  <c r="K199" i="2"/>
  <c r="I199" i="2" s="1"/>
  <c r="J199" i="2" s="1"/>
  <c r="K187" i="2"/>
  <c r="I187" i="2" s="1"/>
  <c r="J187" i="2" s="1"/>
  <c r="K189" i="2"/>
  <c r="I189" i="2" s="1"/>
  <c r="J189" i="2" s="1"/>
  <c r="K192" i="2"/>
  <c r="I192" i="2" s="1"/>
  <c r="J192" i="2" s="1"/>
  <c r="K204" i="2"/>
  <c r="I204" i="2" s="1"/>
  <c r="J204" i="2" s="1"/>
  <c r="K205" i="2"/>
  <c r="I205" i="2" s="1"/>
  <c r="J205" i="2" s="1"/>
  <c r="K225" i="2"/>
  <c r="I225" i="2" s="1"/>
  <c r="J225" i="2" s="1"/>
  <c r="K226" i="2"/>
  <c r="I226" i="2" s="1"/>
  <c r="J226" i="2" s="1"/>
  <c r="K92" i="2"/>
  <c r="I92" i="2" s="1"/>
  <c r="J92" i="2" s="1"/>
  <c r="B83" i="11"/>
  <c r="D82" i="11"/>
  <c r="K428" i="2"/>
  <c r="I428" i="2" s="1"/>
  <c r="J428" i="2" s="1"/>
  <c r="K238" i="2"/>
  <c r="I238" i="2" s="1"/>
  <c r="J238" i="2" s="1"/>
  <c r="K407" i="2"/>
  <c r="I407" i="2" s="1"/>
  <c r="J407" i="2" s="1"/>
  <c r="K354" i="2"/>
  <c r="I354" i="2" s="1"/>
  <c r="J354" i="2" s="1"/>
  <c r="K342" i="2"/>
  <c r="I342" i="2" s="1"/>
  <c r="J342" i="2" s="1"/>
  <c r="K353" i="2"/>
  <c r="I353" i="2" s="1"/>
  <c r="J353" i="2" s="1"/>
  <c r="K347" i="2"/>
  <c r="I347" i="2" s="1"/>
  <c r="J347" i="2" s="1"/>
  <c r="K352" i="2"/>
  <c r="I352" i="2" s="1"/>
  <c r="J352" i="2" s="1"/>
  <c r="K343" i="2"/>
  <c r="I343" i="2" s="1"/>
  <c r="J343" i="2" s="1"/>
  <c r="K358" i="2"/>
  <c r="I358" i="2" s="1"/>
  <c r="J358" i="2" s="1"/>
  <c r="K341" i="2"/>
  <c r="I341" i="2" s="1"/>
  <c r="J341" i="2" s="1"/>
  <c r="K348" i="2"/>
  <c r="I348" i="2" s="1"/>
  <c r="J348" i="2" s="1"/>
  <c r="K351" i="2"/>
  <c r="I351" i="2" s="1"/>
  <c r="J351" i="2" s="1"/>
  <c r="K339" i="2"/>
  <c r="I339" i="2" s="1"/>
  <c r="K346" i="2"/>
  <c r="I346" i="2" s="1"/>
  <c r="J346" i="2" s="1"/>
  <c r="K357" i="2"/>
  <c r="I357" i="2" s="1"/>
  <c r="J357" i="2" s="1"/>
  <c r="K349" i="2"/>
  <c r="I349" i="2" s="1"/>
  <c r="J349" i="2" s="1"/>
  <c r="K344" i="2"/>
  <c r="I344" i="2" s="1"/>
  <c r="J344" i="2" s="1"/>
  <c r="K356" i="2"/>
  <c r="I356" i="2" s="1"/>
  <c r="J356" i="2" s="1"/>
  <c r="K350" i="2"/>
  <c r="I350" i="2" s="1"/>
  <c r="J350" i="2" s="1"/>
  <c r="K355" i="2"/>
  <c r="I355" i="2" s="1"/>
  <c r="J355" i="2" s="1"/>
  <c r="K359" i="2"/>
  <c r="I359" i="2" s="1"/>
  <c r="J359" i="2" s="1"/>
  <c r="K340" i="2"/>
  <c r="I340" i="2" s="1"/>
  <c r="J340" i="2" s="1"/>
  <c r="K360" i="2"/>
  <c r="I360" i="2" s="1"/>
  <c r="J360" i="2" s="1"/>
  <c r="K375" i="2"/>
  <c r="I375" i="2" s="1"/>
  <c r="J375" i="2" s="1"/>
  <c r="K377" i="2"/>
  <c r="I377" i="2" s="1"/>
  <c r="J377" i="2" s="1"/>
  <c r="K376" i="2"/>
  <c r="I376" i="2" s="1"/>
  <c r="J376" i="2" s="1"/>
  <c r="K379" i="2"/>
  <c r="I379" i="2" s="1"/>
  <c r="J379" i="2" s="1"/>
  <c r="K378" i="2"/>
  <c r="I378" i="2" s="1"/>
  <c r="J378" i="2" s="1"/>
  <c r="K381" i="2"/>
  <c r="I381" i="2" s="1"/>
  <c r="J381" i="2" s="1"/>
  <c r="K382" i="2"/>
  <c r="I382" i="2" s="1"/>
  <c r="J382" i="2" s="1"/>
  <c r="K380" i="2"/>
  <c r="I380" i="2" s="1"/>
  <c r="J380" i="2" s="1"/>
  <c r="K383" i="2"/>
  <c r="I383" i="2" s="1"/>
  <c r="J383" i="2" s="1"/>
  <c r="K385" i="2"/>
  <c r="I385" i="2" s="1"/>
  <c r="J385" i="2" s="1"/>
  <c r="K384" i="2"/>
  <c r="I384" i="2" s="1"/>
  <c r="J384" i="2" s="1"/>
  <c r="K386" i="2"/>
  <c r="I386" i="2" s="1"/>
  <c r="J386" i="2" s="1"/>
  <c r="K387" i="2"/>
  <c r="I387" i="2" s="1"/>
  <c r="J387" i="2" s="1"/>
  <c r="K388" i="2"/>
  <c r="I388" i="2" s="1"/>
  <c r="J388" i="2" s="1"/>
  <c r="K389" i="2"/>
  <c r="I389" i="2" s="1"/>
  <c r="J389" i="2" s="1"/>
  <c r="K390" i="2"/>
  <c r="I390" i="2" s="1"/>
  <c r="J390" i="2" s="1"/>
  <c r="K392" i="2"/>
  <c r="I392" i="2" s="1"/>
  <c r="J392" i="2" s="1"/>
  <c r="K395" i="2"/>
  <c r="I395" i="2" s="1"/>
  <c r="J395" i="2" s="1"/>
  <c r="K396" i="2"/>
  <c r="I396" i="2" s="1"/>
  <c r="J396" i="2" s="1"/>
  <c r="K393" i="2"/>
  <c r="I393" i="2" s="1"/>
  <c r="J393" i="2" s="1"/>
  <c r="K397" i="2"/>
  <c r="I397" i="2" s="1"/>
  <c r="J397" i="2" s="1"/>
  <c r="K398" i="2"/>
  <c r="I398" i="2" s="1"/>
  <c r="J398" i="2" s="1"/>
  <c r="K394" i="2"/>
  <c r="I394" i="2" s="1"/>
  <c r="J394" i="2" s="1"/>
  <c r="K399" i="2"/>
  <c r="I399" i="2" s="1"/>
  <c r="J399" i="2" s="1"/>
  <c r="K400" i="2"/>
  <c r="I400" i="2" s="1"/>
  <c r="J400" i="2" s="1"/>
  <c r="K401" i="2"/>
  <c r="I401" i="2" s="1"/>
  <c r="J401" i="2" s="1"/>
  <c r="K402" i="2"/>
  <c r="I402" i="2" s="1"/>
  <c r="J402" i="2" s="1"/>
  <c r="K234" i="2"/>
  <c r="I234" i="2" s="1"/>
  <c r="J234" i="2" s="1"/>
  <c r="K403" i="2"/>
  <c r="I403" i="2" s="1"/>
  <c r="J403" i="2" s="1"/>
  <c r="K236" i="2"/>
  <c r="I236" i="2" s="1"/>
  <c r="J236" i="2" s="1"/>
  <c r="K406" i="2"/>
  <c r="I406" i="2" s="1"/>
  <c r="J406" i="2" s="1"/>
  <c r="K240" i="2"/>
  <c r="I240" i="2" s="1"/>
  <c r="J240" i="2" s="1"/>
  <c r="K345" i="2"/>
  <c r="I345" i="2" s="1"/>
  <c r="J345" i="2" s="1"/>
  <c r="K239" i="2"/>
  <c r="I239" i="2" s="1"/>
  <c r="J239" i="2" s="1"/>
  <c r="K241" i="2"/>
  <c r="I241" i="2" s="1"/>
  <c r="J241" i="2" s="1"/>
  <c r="K175" i="2"/>
  <c r="I175" i="2" s="1"/>
  <c r="J175" i="2" s="1"/>
  <c r="K185" i="2"/>
  <c r="I185" i="2" s="1"/>
  <c r="J185" i="2" s="1"/>
  <c r="K181" i="2"/>
  <c r="I181" i="2" s="1"/>
  <c r="J181" i="2" s="1"/>
  <c r="K179" i="2"/>
  <c r="I179" i="2" s="1"/>
  <c r="J179" i="2" s="1"/>
  <c r="K184" i="2"/>
  <c r="I184" i="2" s="1"/>
  <c r="J184" i="2" s="1"/>
  <c r="K176" i="2"/>
  <c r="I176" i="2" s="1"/>
  <c r="J176" i="2" s="1"/>
  <c r="K174" i="2"/>
  <c r="I174" i="2" s="1"/>
  <c r="J174" i="2" s="1"/>
  <c r="K172" i="2"/>
  <c r="I172" i="2" s="1"/>
  <c r="K202" i="2"/>
  <c r="I202" i="2" s="1"/>
  <c r="J202" i="2" s="1"/>
  <c r="K183" i="2"/>
  <c r="I183" i="2" s="1"/>
  <c r="J183" i="2" s="1"/>
  <c r="K173" i="2"/>
  <c r="I173" i="2" s="1"/>
  <c r="J173" i="2" s="1"/>
  <c r="I177" i="2"/>
  <c r="J177" i="2" s="1"/>
  <c r="K178" i="2"/>
  <c r="I178" i="2" s="1"/>
  <c r="J178" i="2" s="1"/>
  <c r="K180" i="2"/>
  <c r="I180" i="2" s="1"/>
  <c r="J180" i="2" s="1"/>
  <c r="K201" i="2"/>
  <c r="I201" i="2" s="1"/>
  <c r="J201" i="2" s="1"/>
  <c r="K182" i="2"/>
  <c r="I182" i="2" s="1"/>
  <c r="J182" i="2" s="1"/>
  <c r="K200" i="2"/>
  <c r="I200" i="2" s="1"/>
  <c r="J200" i="2" s="1"/>
  <c r="K203" i="2"/>
  <c r="I203" i="2" s="1"/>
  <c r="J203" i="2" s="1"/>
  <c r="K207" i="2"/>
  <c r="I207" i="2" s="1"/>
  <c r="J207" i="2" s="1"/>
  <c r="K206" i="2"/>
  <c r="I206" i="2" s="1"/>
  <c r="J206" i="2" s="1"/>
  <c r="K209" i="2"/>
  <c r="I209" i="2" s="1"/>
  <c r="J209" i="2" s="1"/>
  <c r="K210" i="2"/>
  <c r="I210" i="2" s="1"/>
  <c r="J210" i="2" s="1"/>
  <c r="K208" i="2"/>
  <c r="I208" i="2" s="1"/>
  <c r="J208" i="2" s="1"/>
  <c r="K211" i="2"/>
  <c r="I211" i="2" s="1"/>
  <c r="J211" i="2" s="1"/>
  <c r="K212" i="2"/>
  <c r="I212" i="2" s="1"/>
  <c r="J212" i="2" s="1"/>
  <c r="K213" i="2"/>
  <c r="I213" i="2" s="1"/>
  <c r="J213" i="2" s="1"/>
  <c r="K214" i="2"/>
  <c r="I214" i="2" s="1"/>
  <c r="J214" i="2" s="1"/>
  <c r="K215" i="2"/>
  <c r="I215" i="2" s="1"/>
  <c r="J215" i="2" s="1"/>
  <c r="K216" i="2"/>
  <c r="I216" i="2" s="1"/>
  <c r="J216" i="2" s="1"/>
  <c r="K217" i="2"/>
  <c r="I217" i="2" s="1"/>
  <c r="J217" i="2" s="1"/>
  <c r="K218" i="2"/>
  <c r="I218" i="2" s="1"/>
  <c r="J218" i="2" s="1"/>
  <c r="K219" i="2"/>
  <c r="I219" i="2" s="1"/>
  <c r="J219" i="2" s="1"/>
  <c r="K220" i="2"/>
  <c r="I220" i="2" s="1"/>
  <c r="J220" i="2" s="1"/>
  <c r="K222" i="2"/>
  <c r="I222" i="2" s="1"/>
  <c r="J222" i="2" s="1"/>
  <c r="K221" i="2"/>
  <c r="I221" i="2" s="1"/>
  <c r="J221" i="2" s="1"/>
  <c r="K223" i="2"/>
  <c r="I223" i="2" s="1"/>
  <c r="J223" i="2" s="1"/>
  <c r="K224" i="2"/>
  <c r="I224" i="2" s="1"/>
  <c r="J224" i="2" s="1"/>
  <c r="K227" i="2"/>
  <c r="I227" i="2" s="1"/>
  <c r="J227" i="2" s="1"/>
  <c r="K229" i="2"/>
  <c r="I229" i="2" s="1"/>
  <c r="J229" i="2" s="1"/>
  <c r="K228" i="2"/>
  <c r="I228" i="2" s="1"/>
  <c r="J228" i="2" s="1"/>
  <c r="K233" i="2"/>
  <c r="I233" i="2" s="1"/>
  <c r="J233" i="2" s="1"/>
  <c r="K231" i="2"/>
  <c r="I231" i="2" s="1"/>
  <c r="J231" i="2" s="1"/>
  <c r="K232" i="2"/>
  <c r="I232" i="2" s="1"/>
  <c r="J232" i="2" s="1"/>
  <c r="K434" i="2"/>
  <c r="I434" i="2" s="1"/>
  <c r="J434" i="2" s="1"/>
  <c r="K422" i="2"/>
  <c r="I422" i="2" s="1"/>
  <c r="K425" i="2"/>
  <c r="I425" i="2" s="1"/>
  <c r="J425" i="2" s="1"/>
  <c r="K432" i="2"/>
  <c r="I432" i="2" s="1"/>
  <c r="J432" i="2" s="1"/>
  <c r="K423" i="2"/>
  <c r="I423" i="2" s="1"/>
  <c r="J423" i="2" s="1"/>
  <c r="K431" i="2"/>
  <c r="I431" i="2" s="1"/>
  <c r="J431" i="2" s="1"/>
  <c r="K424" i="2"/>
  <c r="I424" i="2" s="1"/>
  <c r="J424" i="2" s="1"/>
  <c r="K427" i="2"/>
  <c r="I427" i="2" s="1"/>
  <c r="J427" i="2" s="1"/>
  <c r="K426" i="2"/>
  <c r="I426" i="2" s="1"/>
  <c r="J426" i="2" s="1"/>
  <c r="K435" i="2"/>
  <c r="I435" i="2" s="1"/>
  <c r="J435" i="2" s="1"/>
  <c r="K429" i="2"/>
  <c r="I429" i="2" s="1"/>
  <c r="J429" i="2" s="1"/>
  <c r="K430" i="2"/>
  <c r="I430" i="2" s="1"/>
  <c r="J430" i="2" s="1"/>
  <c r="K433" i="2"/>
  <c r="I433" i="2" s="1"/>
  <c r="J433" i="2" s="1"/>
  <c r="K93" i="2"/>
  <c r="I93" i="2" s="1"/>
  <c r="J93" i="2" s="1"/>
  <c r="K102" i="2"/>
  <c r="I102" i="2" s="1"/>
  <c r="J102" i="2" s="1"/>
  <c r="K99" i="2"/>
  <c r="I99" i="2" s="1"/>
  <c r="J99" i="2" s="1"/>
  <c r="K105" i="2"/>
  <c r="I105" i="2" s="1"/>
  <c r="J105" i="2" s="1"/>
  <c r="K98" i="2"/>
  <c r="I98" i="2" s="1"/>
  <c r="J98" i="2" s="1"/>
  <c r="K96" i="2"/>
  <c r="I96" i="2" s="1"/>
  <c r="J96" i="2" s="1"/>
  <c r="K89" i="2"/>
  <c r="I89" i="2" s="1"/>
  <c r="J89" i="2" s="1"/>
  <c r="K95" i="2"/>
  <c r="I95" i="2" s="1"/>
  <c r="J95" i="2" s="1"/>
  <c r="K91" i="2"/>
  <c r="I91" i="2" s="1"/>
  <c r="J91" i="2" s="1"/>
  <c r="K100" i="2"/>
  <c r="I100" i="2" s="1"/>
  <c r="J100" i="2" s="1"/>
  <c r="K101" i="2"/>
  <c r="I101" i="2" s="1"/>
  <c r="J101" i="2" s="1"/>
  <c r="K88" i="2"/>
  <c r="I88" i="2" s="1"/>
  <c r="K90" i="2"/>
  <c r="I90" i="2" s="1"/>
  <c r="J90" i="2" s="1"/>
  <c r="K104" i="2"/>
  <c r="I104" i="2" s="1"/>
  <c r="J104" i="2" s="1"/>
  <c r="K103" i="2"/>
  <c r="I103" i="2" s="1"/>
  <c r="J103" i="2" s="1"/>
  <c r="K94" i="2"/>
  <c r="I94" i="2" s="1"/>
  <c r="J94" i="2" s="1"/>
  <c r="K106" i="2"/>
  <c r="I106" i="2" s="1"/>
  <c r="J106" i="2" s="1"/>
  <c r="K97" i="2"/>
  <c r="I97" i="2" s="1"/>
  <c r="J97" i="2" s="1"/>
  <c r="K237" i="2"/>
  <c r="I237" i="2" s="1"/>
  <c r="J237" i="2" s="1"/>
  <c r="AL501" i="2" l="1"/>
  <c r="AL498" i="2"/>
  <c r="AL497" i="2"/>
  <c r="AL500" i="2"/>
  <c r="AL499" i="2"/>
  <c r="AL417" i="2"/>
  <c r="AL414" i="2"/>
  <c r="AL416" i="2"/>
  <c r="AL415" i="2"/>
  <c r="AL413" i="2"/>
  <c r="AL251" i="2"/>
  <c r="AL248" i="2"/>
  <c r="AL250" i="2"/>
  <c r="AL247" i="2"/>
  <c r="AL249" i="2"/>
  <c r="AL167" i="2"/>
  <c r="AL163" i="2"/>
  <c r="AL166" i="2"/>
  <c r="AL164" i="2"/>
  <c r="AL165" i="2"/>
  <c r="AL81" i="2"/>
  <c r="AL78" i="2"/>
  <c r="AL80" i="2"/>
  <c r="AL82" i="2"/>
  <c r="AL83" i="2"/>
  <c r="AL79" i="2"/>
  <c r="D83" i="11"/>
  <c r="B84" i="11"/>
  <c r="AL495" i="2"/>
  <c r="AL494" i="2"/>
  <c r="AL496" i="2"/>
  <c r="AL411" i="2"/>
  <c r="AL410" i="2"/>
  <c r="AL412" i="2"/>
  <c r="AL244" i="2"/>
  <c r="AL246" i="2"/>
  <c r="AL245" i="2"/>
  <c r="AL161" i="2"/>
  <c r="AL160" i="2"/>
  <c r="AL162" i="2"/>
  <c r="AL76" i="2"/>
  <c r="AL77" i="2"/>
  <c r="J88" i="2"/>
  <c r="W160" i="2" s="1"/>
  <c r="J172" i="2"/>
  <c r="AG251" i="2" s="1"/>
  <c r="J422" i="2"/>
  <c r="AH499" i="2" s="1"/>
  <c r="J339" i="2"/>
  <c r="AK414" i="2" s="1"/>
  <c r="X249" i="2" l="1"/>
  <c r="AH165" i="2"/>
  <c r="X165" i="2"/>
  <c r="AJ78" i="2"/>
  <c r="AA81" i="2"/>
  <c r="Z79" i="2"/>
  <c r="AC79" i="2"/>
  <c r="AD81" i="2"/>
  <c r="AF165" i="2"/>
  <c r="AF498" i="2"/>
  <c r="AD247" i="2"/>
  <c r="AB166" i="2"/>
  <c r="AB500" i="2"/>
  <c r="W167" i="2"/>
  <c r="AB249" i="2"/>
  <c r="W80" i="2"/>
  <c r="AK82" i="2"/>
  <c r="AF249" i="2"/>
  <c r="AC165" i="2"/>
  <c r="Z82" i="2"/>
  <c r="X78" i="2"/>
  <c r="W81" i="2"/>
  <c r="X164" i="2"/>
  <c r="X166" i="2"/>
  <c r="AB80" i="2"/>
  <c r="AJ80" i="2"/>
  <c r="AB497" i="2"/>
  <c r="AA498" i="2"/>
  <c r="Z499" i="2"/>
  <c r="AD500" i="2"/>
  <c r="AG498" i="2"/>
  <c r="AK501" i="2"/>
  <c r="AC500" i="2"/>
  <c r="AA497" i="2"/>
  <c r="X497" i="2"/>
  <c r="AG499" i="2"/>
  <c r="AG497" i="2"/>
  <c r="W501" i="2"/>
  <c r="X501" i="2"/>
  <c r="AF499" i="2"/>
  <c r="AF501" i="2"/>
  <c r="AF497" i="2"/>
  <c r="W498" i="2"/>
  <c r="AB498" i="2"/>
  <c r="Z498" i="2"/>
  <c r="AJ498" i="2"/>
  <c r="X499" i="2"/>
  <c r="AF500" i="2"/>
  <c r="AC501" i="2"/>
  <c r="Z501" i="2"/>
  <c r="AJ501" i="2"/>
  <c r="X500" i="2"/>
  <c r="Z497" i="2"/>
  <c r="W497" i="2"/>
  <c r="AD498" i="2"/>
  <c r="AH497" i="2"/>
  <c r="AK498" i="2"/>
  <c r="AJ499" i="2"/>
  <c r="AD497" i="2"/>
  <c r="AD499" i="2"/>
  <c r="W500" i="2"/>
  <c r="AB501" i="2"/>
  <c r="AK499" i="2"/>
  <c r="AK497" i="2"/>
  <c r="AG500" i="2"/>
  <c r="AA501" i="2"/>
  <c r="AC497" i="2"/>
  <c r="AC499" i="2"/>
  <c r="AK500" i="2"/>
  <c r="AH498" i="2"/>
  <c r="AJ500" i="2"/>
  <c r="AC498" i="2"/>
  <c r="AB499" i="2"/>
  <c r="AD501" i="2"/>
  <c r="AA500" i="2"/>
  <c r="AH501" i="2"/>
  <c r="AH500" i="2"/>
  <c r="AG501" i="2"/>
  <c r="AA499" i="2"/>
  <c r="Z500" i="2"/>
  <c r="X498" i="2"/>
  <c r="W499" i="2"/>
  <c r="AJ497" i="2"/>
  <c r="AF417" i="2"/>
  <c r="AC414" i="2"/>
  <c r="AB414" i="2"/>
  <c r="X413" i="2"/>
  <c r="AJ413" i="2"/>
  <c r="AA415" i="2"/>
  <c r="W413" i="2"/>
  <c r="X416" i="2"/>
  <c r="AH416" i="2"/>
  <c r="X415" i="2"/>
  <c r="AB413" i="2"/>
  <c r="AD414" i="2"/>
  <c r="AD413" i="2"/>
  <c r="AJ415" i="2"/>
  <c r="AK415" i="2"/>
  <c r="AC417" i="2"/>
  <c r="AF416" i="2"/>
  <c r="Z415" i="2"/>
  <c r="AD416" i="2"/>
  <c r="AH413" i="2"/>
  <c r="AJ414" i="2"/>
  <c r="Z414" i="2"/>
  <c r="Z413" i="2"/>
  <c r="AA413" i="2"/>
  <c r="Z417" i="2"/>
  <c r="AG413" i="2"/>
  <c r="AH415" i="2"/>
  <c r="W414" i="2"/>
  <c r="AB416" i="2"/>
  <c r="W417" i="2"/>
  <c r="AD415" i="2"/>
  <c r="AF415" i="2"/>
  <c r="AH417" i="2"/>
  <c r="AG417" i="2"/>
  <c r="AG414" i="2"/>
  <c r="AB415" i="2"/>
  <c r="AA417" i="2"/>
  <c r="AF413" i="2"/>
  <c r="AB417" i="2"/>
  <c r="AJ416" i="2"/>
  <c r="AK416" i="2"/>
  <c r="AG416" i="2"/>
  <c r="AC413" i="2"/>
  <c r="Z416" i="2"/>
  <c r="AA414" i="2"/>
  <c r="AC415" i="2"/>
  <c r="AH414" i="2"/>
  <c r="AG415" i="2"/>
  <c r="AD417" i="2"/>
  <c r="W416" i="2"/>
  <c r="AC416" i="2"/>
  <c r="AA416" i="2"/>
  <c r="AK417" i="2"/>
  <c r="AK413" i="2"/>
  <c r="AJ417" i="2"/>
  <c r="AF414" i="2"/>
  <c r="X414" i="2"/>
  <c r="X417" i="2"/>
  <c r="W415" i="2"/>
  <c r="X251" i="2"/>
  <c r="AK251" i="2"/>
  <c r="AJ247" i="2"/>
  <c r="W249" i="2"/>
  <c r="AF248" i="2"/>
  <c r="AB251" i="2"/>
  <c r="AB248" i="2"/>
  <c r="AF251" i="2"/>
  <c r="AD248" i="2"/>
  <c r="AG247" i="2"/>
  <c r="AK247" i="2"/>
  <c r="AA250" i="2"/>
  <c r="AA248" i="2"/>
  <c r="Z247" i="2"/>
  <c r="AK250" i="2"/>
  <c r="AJ248" i="2"/>
  <c r="W250" i="2"/>
  <c r="AD250" i="2"/>
  <c r="AF250" i="2"/>
  <c r="AD249" i="2"/>
  <c r="AK249" i="2"/>
  <c r="AA247" i="2"/>
  <c r="AA249" i="2"/>
  <c r="W251" i="2"/>
  <c r="AH250" i="2"/>
  <c r="AH249" i="2"/>
  <c r="AB250" i="2"/>
  <c r="AD251" i="2"/>
  <c r="AA251" i="2"/>
  <c r="AB247" i="2"/>
  <c r="AJ251" i="2"/>
  <c r="AG249" i="2"/>
  <c r="AG250" i="2"/>
  <c r="Z249" i="2"/>
  <c r="X248" i="2"/>
  <c r="X247" i="2"/>
  <c r="AC250" i="2"/>
  <c r="AJ250" i="2"/>
  <c r="AJ249" i="2"/>
  <c r="Z251" i="2"/>
  <c r="AC249" i="2"/>
  <c r="W247" i="2"/>
  <c r="AH248" i="2"/>
  <c r="AK248" i="2"/>
  <c r="AH251" i="2"/>
  <c r="Z248" i="2"/>
  <c r="AC251" i="2"/>
  <c r="AG248" i="2"/>
  <c r="Z250" i="2"/>
  <c r="AF247" i="2"/>
  <c r="AC247" i="2"/>
  <c r="X250" i="2"/>
  <c r="AC248" i="2"/>
  <c r="W248" i="2"/>
  <c r="AH247" i="2"/>
  <c r="AB163" i="2"/>
  <c r="W163" i="2"/>
  <c r="AJ163" i="2"/>
  <c r="AJ166" i="2"/>
  <c r="W166" i="2"/>
  <c r="AF166" i="2"/>
  <c r="AF163" i="2"/>
  <c r="Z164" i="2"/>
  <c r="AG164" i="2"/>
  <c r="AH167" i="2"/>
  <c r="AC167" i="2"/>
  <c r="AG163" i="2"/>
  <c r="AJ164" i="2"/>
  <c r="AC163" i="2"/>
  <c r="AD166" i="2"/>
  <c r="Z165" i="2"/>
  <c r="AA167" i="2"/>
  <c r="AF167" i="2"/>
  <c r="AF164" i="2"/>
  <c r="Z166" i="2"/>
  <c r="AG165" i="2"/>
  <c r="AK164" i="2"/>
  <c r="AB164" i="2"/>
  <c r="W164" i="2"/>
  <c r="X167" i="2"/>
  <c r="AA166" i="2"/>
  <c r="AD163" i="2"/>
  <c r="AD167" i="2"/>
  <c r="Z167" i="2"/>
  <c r="AA164" i="2"/>
  <c r="AH164" i="2"/>
  <c r="AK167" i="2"/>
  <c r="AG166" i="2"/>
  <c r="AB167" i="2"/>
  <c r="AK163" i="2"/>
  <c r="AH163" i="2"/>
  <c r="AB165" i="2"/>
  <c r="AC164" i="2"/>
  <c r="Z163" i="2"/>
  <c r="AA165" i="2"/>
  <c r="AG167" i="2"/>
  <c r="AH166" i="2"/>
  <c r="AA163" i="2"/>
  <c r="W165" i="2"/>
  <c r="AD164" i="2"/>
  <c r="AD165" i="2"/>
  <c r="AK166" i="2"/>
  <c r="AJ167" i="2"/>
  <c r="AJ165" i="2"/>
  <c r="X163" i="2"/>
  <c r="AC166" i="2"/>
  <c r="AK165" i="2"/>
  <c r="AD82" i="2"/>
  <c r="AA83" i="2"/>
  <c r="AA82" i="2"/>
  <c r="AJ79" i="2"/>
  <c r="W78" i="2"/>
  <c r="Z81" i="2"/>
  <c r="AF80" i="2"/>
  <c r="Z83" i="2"/>
  <c r="AF79" i="2"/>
  <c r="X81" i="2"/>
  <c r="AG79" i="2"/>
  <c r="AK78" i="2"/>
  <c r="AD83" i="2"/>
  <c r="W79" i="2"/>
  <c r="AC80" i="2"/>
  <c r="AB81" i="2"/>
  <c r="AK81" i="2"/>
  <c r="X80" i="2"/>
  <c r="AB83" i="2"/>
  <c r="AD79" i="2"/>
  <c r="AF81" i="2"/>
  <c r="AD78" i="2"/>
  <c r="AH80" i="2"/>
  <c r="AF82" i="2"/>
  <c r="AG82" i="2"/>
  <c r="AJ81" i="2"/>
  <c r="X79" i="2"/>
  <c r="AK79" i="2"/>
  <c r="X83" i="2"/>
  <c r="AG78" i="2"/>
  <c r="AH79" i="2"/>
  <c r="AA79" i="2"/>
  <c r="AJ82" i="2"/>
  <c r="AK80" i="2"/>
  <c r="AA78" i="2"/>
  <c r="W82" i="2"/>
  <c r="AA80" i="2"/>
  <c r="AF78" i="2"/>
  <c r="AH78" i="2"/>
  <c r="AH83" i="2"/>
  <c r="AB78" i="2"/>
  <c r="AB79" i="2"/>
  <c r="AC82" i="2"/>
  <c r="AG80" i="2"/>
  <c r="AH82" i="2"/>
  <c r="AC83" i="2"/>
  <c r="Z80" i="2"/>
  <c r="AC81" i="2"/>
  <c r="X82" i="2"/>
  <c r="AB82" i="2"/>
  <c r="AC78" i="2"/>
  <c r="AK83" i="2"/>
  <c r="AG83" i="2"/>
  <c r="AG81" i="2"/>
  <c r="W83" i="2"/>
  <c r="AJ83" i="2"/>
  <c r="Z78" i="2"/>
  <c r="AF83" i="2"/>
  <c r="AD80" i="2"/>
  <c r="AH81" i="2"/>
  <c r="AG246" i="2"/>
  <c r="AB246" i="2"/>
  <c r="B85" i="11"/>
  <c r="D84" i="11"/>
  <c r="AB77" i="2"/>
  <c r="AF76" i="2"/>
  <c r="AJ77" i="2"/>
  <c r="AH76" i="2"/>
  <c r="AD77" i="2"/>
  <c r="Z162" i="2"/>
  <c r="AD162" i="2"/>
  <c r="AJ162" i="2"/>
  <c r="AD76" i="2"/>
  <c r="AF77" i="2"/>
  <c r="Z77" i="2"/>
  <c r="Z76" i="2"/>
  <c r="AG76" i="2"/>
  <c r="AC77" i="2"/>
  <c r="AA76" i="2"/>
  <c r="W76" i="2"/>
  <c r="AK77" i="2"/>
  <c r="W77" i="2"/>
  <c r="AC76" i="2"/>
  <c r="AJ76" i="2"/>
  <c r="AA160" i="2"/>
  <c r="AG162" i="2"/>
  <c r="AB162" i="2"/>
  <c r="AH161" i="2"/>
  <c r="AC162" i="2"/>
  <c r="Z161" i="2"/>
  <c r="AC161" i="2"/>
  <c r="X162" i="2"/>
  <c r="AK160" i="2"/>
  <c r="AB160" i="2"/>
  <c r="AC160" i="2"/>
  <c r="AK162" i="2"/>
  <c r="AF160" i="2"/>
  <c r="X160" i="2"/>
  <c r="AG160" i="2"/>
  <c r="AA162" i="2"/>
  <c r="AA161" i="2"/>
  <c r="AF161" i="2"/>
  <c r="W161" i="2"/>
  <c r="X161" i="2"/>
  <c r="W162" i="2"/>
  <c r="AD161" i="2"/>
  <c r="AH162" i="2"/>
  <c r="AJ161" i="2"/>
  <c r="AH246" i="2"/>
  <c r="AC245" i="2"/>
  <c r="AA245" i="2"/>
  <c r="X246" i="2"/>
  <c r="AD244" i="2"/>
  <c r="W244" i="2"/>
  <c r="AB412" i="2"/>
  <c r="AJ412" i="2"/>
  <c r="X412" i="2"/>
  <c r="AK412" i="2"/>
  <c r="W410" i="2"/>
  <c r="AF496" i="2"/>
  <c r="AD496" i="2"/>
  <c r="AA496" i="2"/>
  <c r="AA495" i="2"/>
  <c r="AA494" i="2"/>
  <c r="AH496" i="2"/>
  <c r="AJ495" i="2"/>
  <c r="AD494" i="2"/>
  <c r="W496" i="2"/>
  <c r="W494" i="2"/>
  <c r="AJ496" i="2"/>
  <c r="AJ494" i="2"/>
  <c r="AD495" i="2"/>
  <c r="X495" i="2"/>
  <c r="AF495" i="2"/>
  <c r="Z496" i="2"/>
  <c r="AK495" i="2"/>
  <c r="AB494" i="2"/>
  <c r="AH495" i="2"/>
  <c r="AH494" i="2"/>
  <c r="X494" i="2"/>
  <c r="Z495" i="2"/>
  <c r="X496" i="2"/>
  <c r="AG494" i="2"/>
  <c r="Z494" i="2"/>
  <c r="AG496" i="2"/>
  <c r="AC495" i="2"/>
  <c r="AK494" i="2"/>
  <c r="AC496" i="2"/>
  <c r="AG495" i="2"/>
  <c r="AB496" i="2"/>
  <c r="AK496" i="2"/>
  <c r="W495" i="2"/>
  <c r="AC494" i="2"/>
  <c r="AF494" i="2"/>
  <c r="AB495" i="2"/>
  <c r="W411" i="2"/>
  <c r="Z412" i="2"/>
  <c r="X410" i="2"/>
  <c r="AC412" i="2"/>
  <c r="AK411" i="2"/>
  <c r="Z411" i="2"/>
  <c r="AC411" i="2"/>
  <c r="AJ410" i="2"/>
  <c r="AC410" i="2"/>
  <c r="AA410" i="2"/>
  <c r="AJ411" i="2"/>
  <c r="AK410" i="2"/>
  <c r="Z410" i="2"/>
  <c r="AF412" i="2"/>
  <c r="AF410" i="2"/>
  <c r="AG410" i="2"/>
  <c r="AB410" i="2"/>
  <c r="AD411" i="2"/>
  <c r="X411" i="2"/>
  <c r="AD410" i="2"/>
  <c r="AH411" i="2"/>
  <c r="AF411" i="2"/>
  <c r="AG412" i="2"/>
  <c r="AA411" i="2"/>
  <c r="AB411" i="2"/>
  <c r="AA412" i="2"/>
  <c r="AG411" i="2"/>
  <c r="AD412" i="2"/>
  <c r="AH412" i="2"/>
  <c r="W412" i="2"/>
  <c r="AH410" i="2"/>
  <c r="AH245" i="2"/>
  <c r="AC244" i="2"/>
  <c r="Z246" i="2"/>
  <c r="W245" i="2"/>
  <c r="AC246" i="2"/>
  <c r="X245" i="2"/>
  <c r="AB244" i="2"/>
  <c r="AJ245" i="2"/>
  <c r="AK245" i="2"/>
  <c r="AG244" i="2"/>
  <c r="AD246" i="2"/>
  <c r="X244" i="2"/>
  <c r="AF246" i="2"/>
  <c r="AB245" i="2"/>
  <c r="AK244" i="2"/>
  <c r="Z244" i="2"/>
  <c r="W246" i="2"/>
  <c r="Z245" i="2"/>
  <c r="AF245" i="2"/>
  <c r="AK246" i="2"/>
  <c r="AJ244" i="2"/>
  <c r="AA244" i="2"/>
  <c r="AD245" i="2"/>
  <c r="AJ246" i="2"/>
  <c r="AF244" i="2"/>
  <c r="AH244" i="2"/>
  <c r="AA246" i="2"/>
  <c r="AG245" i="2"/>
  <c r="AK161" i="2"/>
  <c r="Z160" i="2"/>
  <c r="AF162" i="2"/>
  <c r="AB161" i="2"/>
  <c r="AG161" i="2"/>
  <c r="AD160" i="2"/>
  <c r="AJ160" i="2"/>
  <c r="AH160" i="2"/>
  <c r="AH77" i="2"/>
  <c r="X76" i="2"/>
  <c r="AK76" i="2"/>
  <c r="AG77" i="2"/>
  <c r="AB76" i="2"/>
  <c r="AA77" i="2"/>
  <c r="X77" i="2"/>
  <c r="Y76" i="2" l="1"/>
  <c r="Y77" i="2"/>
  <c r="AE81" i="2"/>
  <c r="Y167" i="2"/>
  <c r="AE167" i="2"/>
  <c r="AE166" i="2"/>
  <c r="Y417" i="2"/>
  <c r="Y166" i="2"/>
  <c r="AE498" i="2"/>
  <c r="AE417" i="2"/>
  <c r="AE416" i="2"/>
  <c r="Y416" i="2"/>
  <c r="AM80" i="2"/>
  <c r="Y80" i="2"/>
  <c r="AE80" i="2"/>
  <c r="Y500" i="2"/>
  <c r="AE413" i="2"/>
  <c r="Y78" i="2"/>
  <c r="AI498" i="2"/>
  <c r="AE500" i="2"/>
  <c r="AE249" i="2"/>
  <c r="AE497" i="2"/>
  <c r="AM501" i="2"/>
  <c r="Y81" i="2"/>
  <c r="AM81" i="2"/>
  <c r="AI414" i="2"/>
  <c r="Y413" i="2"/>
  <c r="Y497" i="2"/>
  <c r="AE501" i="2"/>
  <c r="AE414" i="2"/>
  <c r="AM497" i="2"/>
  <c r="AM415" i="2"/>
  <c r="AM499" i="2"/>
  <c r="AM498" i="2"/>
  <c r="AM247" i="2"/>
  <c r="Y498" i="2"/>
  <c r="AI497" i="2"/>
  <c r="AM500" i="2"/>
  <c r="AI501" i="2"/>
  <c r="AE499" i="2"/>
  <c r="AI499" i="2"/>
  <c r="Y501" i="2"/>
  <c r="AI500" i="2"/>
  <c r="Y499" i="2"/>
  <c r="AM416" i="2"/>
  <c r="AM417" i="2"/>
  <c r="Y415" i="2"/>
  <c r="AI413" i="2"/>
  <c r="AM414" i="2"/>
  <c r="Y414" i="2"/>
  <c r="AI416" i="2"/>
  <c r="AM413" i="2"/>
  <c r="AM250" i="2"/>
  <c r="AI415" i="2"/>
  <c r="AE415" i="2"/>
  <c r="AI417" i="2"/>
  <c r="AE163" i="2"/>
  <c r="Y250" i="2"/>
  <c r="AI249" i="2"/>
  <c r="AE164" i="2"/>
  <c r="AI250" i="2"/>
  <c r="AM248" i="2"/>
  <c r="AM251" i="2"/>
  <c r="AM167" i="2"/>
  <c r="AI167" i="2"/>
  <c r="AE248" i="2"/>
  <c r="Y163" i="2"/>
  <c r="AI165" i="2"/>
  <c r="Y247" i="2"/>
  <c r="AE250" i="2"/>
  <c r="AI251" i="2"/>
  <c r="Y248" i="2"/>
  <c r="AI248" i="2"/>
  <c r="AM249" i="2"/>
  <c r="AE165" i="2"/>
  <c r="AE247" i="2"/>
  <c r="AE78" i="2"/>
  <c r="AM78" i="2"/>
  <c r="AI247" i="2"/>
  <c r="AM164" i="2"/>
  <c r="Y251" i="2"/>
  <c r="AE79" i="2"/>
  <c r="AE251" i="2"/>
  <c r="Y249" i="2"/>
  <c r="Y164" i="2"/>
  <c r="Y82" i="2"/>
  <c r="AE82" i="2"/>
  <c r="AM165" i="2"/>
  <c r="AI163" i="2"/>
  <c r="AI166" i="2"/>
  <c r="AI79" i="2"/>
  <c r="AM166" i="2"/>
  <c r="Y79" i="2"/>
  <c r="Y165" i="2"/>
  <c r="AM163" i="2"/>
  <c r="AM82" i="2"/>
  <c r="AI164" i="2"/>
  <c r="AM83" i="2"/>
  <c r="AI80" i="2"/>
  <c r="AI82" i="2"/>
  <c r="AE83" i="2"/>
  <c r="AM79" i="2"/>
  <c r="AI81" i="2"/>
  <c r="AI83" i="2"/>
  <c r="Y83" i="2"/>
  <c r="AI78" i="2"/>
  <c r="Y160" i="2"/>
  <c r="AE77" i="2"/>
  <c r="D85" i="11"/>
  <c r="B86" i="11"/>
  <c r="AE162" i="2"/>
  <c r="AM77" i="2"/>
  <c r="AE495" i="2"/>
  <c r="AM161" i="2"/>
  <c r="AE244" i="2"/>
  <c r="Y244" i="2"/>
  <c r="Y161" i="2"/>
  <c r="AE161" i="2"/>
  <c r="Y246" i="2"/>
  <c r="AM412" i="2"/>
  <c r="AE410" i="2"/>
  <c r="Y162" i="2"/>
  <c r="AM162" i="2"/>
  <c r="Y410" i="2"/>
  <c r="AI162" i="2"/>
  <c r="AI161" i="2"/>
  <c r="AI494" i="2"/>
  <c r="AE496" i="2"/>
  <c r="AM494" i="2"/>
  <c r="Y496" i="2"/>
  <c r="AE494" i="2"/>
  <c r="AM496" i="2"/>
  <c r="AM246" i="2"/>
  <c r="AM495" i="2"/>
  <c r="Y494" i="2"/>
  <c r="AI496" i="2"/>
  <c r="Y411" i="2"/>
  <c r="AI495" i="2"/>
  <c r="AE411" i="2"/>
  <c r="Y495" i="2"/>
  <c r="AM410" i="2"/>
  <c r="AE412" i="2"/>
  <c r="AM411" i="2"/>
  <c r="AI411" i="2"/>
  <c r="Y245" i="2"/>
  <c r="AE245" i="2"/>
  <c r="AI160" i="2"/>
  <c r="AI410" i="2"/>
  <c r="AI412" i="2"/>
  <c r="Y412" i="2"/>
  <c r="AI245" i="2"/>
  <c r="AM244" i="2"/>
  <c r="AI246" i="2"/>
  <c r="AI244" i="2"/>
  <c r="AM245" i="2"/>
  <c r="AI77" i="2"/>
  <c r="AE246" i="2"/>
  <c r="AE160" i="2"/>
  <c r="AM160" i="2"/>
  <c r="AI76" i="2"/>
  <c r="AM76" i="2"/>
  <c r="AE76" i="2"/>
  <c r="S499" i="2" l="1"/>
  <c r="Q499" i="2" s="1"/>
  <c r="S498" i="2"/>
  <c r="Q498" i="2" s="1"/>
  <c r="S501" i="2"/>
  <c r="Q501" i="2" s="1"/>
  <c r="S500" i="2"/>
  <c r="Q500" i="2" s="1"/>
  <c r="S497" i="2"/>
  <c r="Q497" i="2" s="1"/>
  <c r="S415" i="2"/>
  <c r="Q415" i="2" s="1"/>
  <c r="S416" i="2"/>
  <c r="Q416" i="2" s="1"/>
  <c r="S413" i="2"/>
  <c r="Q413" i="2" s="1"/>
  <c r="S414" i="2"/>
  <c r="Q414" i="2" s="1"/>
  <c r="S417" i="2"/>
  <c r="Q417" i="2" s="1"/>
  <c r="S249" i="2"/>
  <c r="Q249" i="2" s="1"/>
  <c r="S248" i="2"/>
  <c r="Q248" i="2" s="1"/>
  <c r="S250" i="2"/>
  <c r="Q250" i="2" s="1"/>
  <c r="S251" i="2"/>
  <c r="Q251" i="2" s="1"/>
  <c r="S247" i="2"/>
  <c r="Q247" i="2" s="1"/>
  <c r="S166" i="2"/>
  <c r="Q166" i="2" s="1"/>
  <c r="S164" i="2"/>
  <c r="Q164" i="2" s="1"/>
  <c r="S167" i="2"/>
  <c r="Q167" i="2" s="1"/>
  <c r="S163" i="2"/>
  <c r="Q163" i="2" s="1"/>
  <c r="S165" i="2"/>
  <c r="Q165" i="2" s="1"/>
  <c r="S79" i="2"/>
  <c r="Q79" i="2" s="1"/>
  <c r="S80" i="2"/>
  <c r="Q80" i="2" s="1"/>
  <c r="S81" i="2"/>
  <c r="Q81" i="2" s="1"/>
  <c r="S82" i="2"/>
  <c r="Q82" i="2" s="1"/>
  <c r="S83" i="2"/>
  <c r="Q83" i="2" s="1"/>
  <c r="B87" i="11"/>
  <c r="D86" i="11"/>
  <c r="S496" i="2"/>
  <c r="Q496" i="2" s="1"/>
  <c r="S494" i="2"/>
  <c r="Q494" i="2" s="1"/>
  <c r="S412" i="2"/>
  <c r="Q412" i="2" s="1"/>
  <c r="S246" i="2"/>
  <c r="Q246" i="2" s="1"/>
  <c r="S161" i="2"/>
  <c r="Q161" i="2" s="1"/>
  <c r="S244" i="2"/>
  <c r="Q244" i="2" s="1"/>
  <c r="S495" i="2"/>
  <c r="Q495" i="2" s="1"/>
  <c r="S411" i="2"/>
  <c r="Q411" i="2" s="1"/>
  <c r="S245" i="2"/>
  <c r="Q245" i="2" s="1"/>
  <c r="S410" i="2"/>
  <c r="Q410" i="2" s="1"/>
  <c r="S162" i="2"/>
  <c r="Q162" i="2" s="1"/>
  <c r="S160" i="2"/>
  <c r="Q160" i="2" s="1"/>
  <c r="S76" i="2"/>
  <c r="Q76" i="2" s="1"/>
  <c r="S78" i="2"/>
  <c r="Q78" i="2" s="1"/>
  <c r="S77" i="2"/>
  <c r="Q77" i="2" s="1"/>
  <c r="P497" i="2" l="1"/>
  <c r="O497" i="2" s="1"/>
  <c r="J497" i="2" s="1"/>
  <c r="P500" i="2"/>
  <c r="O500" i="2" s="1"/>
  <c r="J500" i="2" s="1"/>
  <c r="P501" i="2"/>
  <c r="O501" i="2" s="1"/>
  <c r="J501" i="2" s="1"/>
  <c r="P498" i="2"/>
  <c r="O498" i="2" s="1"/>
  <c r="J498" i="2" s="1"/>
  <c r="P499" i="2"/>
  <c r="O499" i="2" s="1"/>
  <c r="J499" i="2" s="1"/>
  <c r="P417" i="2"/>
  <c r="O417" i="2" s="1"/>
  <c r="J417" i="2" s="1"/>
  <c r="P414" i="2"/>
  <c r="O414" i="2" s="1"/>
  <c r="J414" i="2" s="1"/>
  <c r="P413" i="2"/>
  <c r="O413" i="2" s="1"/>
  <c r="J413" i="2" s="1"/>
  <c r="P416" i="2"/>
  <c r="O416" i="2" s="1"/>
  <c r="J416" i="2" s="1"/>
  <c r="P415" i="2"/>
  <c r="O415" i="2" s="1"/>
  <c r="J415" i="2" s="1"/>
  <c r="P247" i="2"/>
  <c r="O247" i="2" s="1"/>
  <c r="J247" i="2" s="1"/>
  <c r="P251" i="2"/>
  <c r="O251" i="2" s="1"/>
  <c r="J251" i="2" s="1"/>
  <c r="P250" i="2"/>
  <c r="O250" i="2" s="1"/>
  <c r="J250" i="2" s="1"/>
  <c r="P248" i="2"/>
  <c r="O248" i="2" s="1"/>
  <c r="J248" i="2" s="1"/>
  <c r="P249" i="2"/>
  <c r="O249" i="2" s="1"/>
  <c r="J249" i="2" s="1"/>
  <c r="P165" i="2"/>
  <c r="O165" i="2" s="1"/>
  <c r="J165" i="2" s="1"/>
  <c r="P163" i="2"/>
  <c r="O163" i="2" s="1"/>
  <c r="J163" i="2" s="1"/>
  <c r="P167" i="2"/>
  <c r="O167" i="2" s="1"/>
  <c r="J167" i="2" s="1"/>
  <c r="P164" i="2"/>
  <c r="O164" i="2" s="1"/>
  <c r="J164" i="2" s="1"/>
  <c r="P166" i="2"/>
  <c r="O166" i="2" s="1"/>
  <c r="J166" i="2" s="1"/>
  <c r="P83" i="2"/>
  <c r="O83" i="2" s="1"/>
  <c r="J83" i="2" s="1"/>
  <c r="P82" i="2"/>
  <c r="O82" i="2" s="1"/>
  <c r="J82" i="2" s="1"/>
  <c r="P81" i="2"/>
  <c r="O81" i="2" s="1"/>
  <c r="J81" i="2" s="1"/>
  <c r="P80" i="2"/>
  <c r="O80" i="2" s="1"/>
  <c r="J80" i="2" s="1"/>
  <c r="P79" i="2"/>
  <c r="O79" i="2" s="1"/>
  <c r="J79" i="2" s="1"/>
  <c r="D87" i="11"/>
  <c r="B88" i="11"/>
  <c r="D88" i="11" s="1"/>
  <c r="P496" i="2"/>
  <c r="O496" i="2" s="1"/>
  <c r="J496" i="2" s="1"/>
  <c r="P495" i="2"/>
  <c r="O495" i="2" s="1"/>
  <c r="J495" i="2" s="1"/>
  <c r="P494" i="2"/>
  <c r="O494" i="2" s="1"/>
  <c r="J494" i="2" s="1"/>
  <c r="P412" i="2"/>
  <c r="O412" i="2" s="1"/>
  <c r="J412" i="2" s="1"/>
  <c r="P411" i="2"/>
  <c r="O411" i="2" s="1"/>
  <c r="J411" i="2" s="1"/>
  <c r="P410" i="2"/>
  <c r="O410" i="2" s="1"/>
  <c r="J410" i="2" s="1"/>
  <c r="P162" i="2"/>
  <c r="O162" i="2" s="1"/>
  <c r="J162" i="2" s="1"/>
  <c r="P160" i="2"/>
  <c r="O160" i="2" s="1"/>
  <c r="J160" i="2" s="1"/>
  <c r="P244" i="2"/>
  <c r="O244" i="2" s="1"/>
  <c r="J244" i="2" s="1"/>
  <c r="P245" i="2"/>
  <c r="O245" i="2" s="1"/>
  <c r="J245" i="2" s="1"/>
  <c r="P246" i="2"/>
  <c r="O246" i="2" s="1"/>
  <c r="J246" i="2" s="1"/>
  <c r="P161" i="2"/>
  <c r="O161" i="2" s="1"/>
  <c r="J161" i="2" s="1"/>
  <c r="P77" i="2"/>
  <c r="O77" i="2" s="1"/>
  <c r="J77" i="2" s="1"/>
  <c r="P78" i="2"/>
  <c r="O78" i="2" s="1"/>
  <c r="J78" i="2" s="1"/>
  <c r="P76" i="2"/>
  <c r="O76" i="2" s="1"/>
  <c r="J76" i="2" s="1"/>
  <c r="K8" i="1" l="1"/>
  <c r="K11" i="1" s="1"/>
  <c r="K108" i="1" s="1"/>
  <c r="H8" i="1"/>
  <c r="H11" i="1" s="1"/>
  <c r="L8" i="1"/>
  <c r="L11" i="1" s="1"/>
  <c r="L108" i="1" s="1"/>
  <c r="E8" i="1"/>
  <c r="E11" i="1" s="1"/>
  <c r="E108" i="1" s="1"/>
  <c r="H108" i="1" l="1"/>
  <c r="I108" i="1" s="1"/>
  <c r="I11" i="1"/>
  <c r="I8" i="1"/>
  <c r="O8" i="1"/>
  <c r="O11" i="1" s="1"/>
  <c r="J8" i="1"/>
  <c r="J11" i="1" s="1"/>
  <c r="F8" i="1"/>
  <c r="F11" i="1" s="1"/>
  <c r="M8" i="1" l="1"/>
  <c r="G8" i="1"/>
  <c r="N8" i="1"/>
  <c r="P8" i="1"/>
  <c r="G11" i="1"/>
  <c r="F108" i="1"/>
  <c r="G108" i="1" s="1"/>
  <c r="N11" i="1"/>
  <c r="M11" i="1"/>
  <c r="M108" i="1" s="1"/>
  <c r="J108" i="1"/>
  <c r="N108" i="1" s="1"/>
  <c r="P11" i="1"/>
  <c r="O108" i="1"/>
  <c r="P108" i="1" s="1"/>
  <c r="AD330" i="2" l="1"/>
  <c r="AF327" i="2"/>
  <c r="AD331" i="2"/>
  <c r="AD327" i="2"/>
  <c r="AJ329" i="2"/>
  <c r="AF332" i="2"/>
  <c r="AD329" i="2"/>
  <c r="AJ327" i="2"/>
  <c r="AJ332" i="2"/>
  <c r="AJ333" i="2"/>
  <c r="AD333" i="2"/>
  <c r="AF333" i="2"/>
  <c r="AD334" i="2"/>
  <c r="AJ328" i="2"/>
  <c r="AD328" i="2"/>
  <c r="AJ334" i="2"/>
  <c r="AD332" i="2"/>
  <c r="AF331" i="2"/>
  <c r="AJ330" i="2"/>
  <c r="AF328" i="2"/>
  <c r="AF329" i="2"/>
  <c r="AF330" i="2"/>
  <c r="AJ331" i="2"/>
  <c r="AF334" i="2"/>
  <c r="AB333" i="2"/>
  <c r="W333" i="2"/>
  <c r="AG333" i="2"/>
  <c r="AC333" i="2"/>
  <c r="AA333" i="2"/>
  <c r="AK333" i="2"/>
  <c r="AH333" i="2"/>
  <c r="Z333" i="2"/>
  <c r="X333" i="2"/>
  <c r="AL333" i="2"/>
  <c r="AK334" i="2"/>
  <c r="W334" i="2"/>
  <c r="AA334" i="2"/>
  <c r="AC334" i="2"/>
  <c r="AG334" i="2"/>
  <c r="AB334" i="2"/>
  <c r="Z334" i="2"/>
  <c r="AH334" i="2"/>
  <c r="X334" i="2"/>
  <c r="AL334" i="2"/>
  <c r="AC328" i="2"/>
  <c r="AH328" i="2"/>
  <c r="AB328" i="2"/>
  <c r="AG328" i="2"/>
  <c r="AA328" i="2"/>
  <c r="AK328" i="2"/>
  <c r="Z328" i="2"/>
  <c r="W328" i="2"/>
  <c r="X328" i="2"/>
  <c r="AL328" i="2"/>
  <c r="AH327" i="2"/>
  <c r="AA327" i="2"/>
  <c r="AC327" i="2"/>
  <c r="Z327" i="2"/>
  <c r="AK327" i="2"/>
  <c r="AG327" i="2"/>
  <c r="AB327" i="2"/>
  <c r="W327" i="2"/>
  <c r="X327" i="2"/>
  <c r="AL327" i="2"/>
  <c r="AK331" i="2"/>
  <c r="AC331" i="2"/>
  <c r="W331" i="2"/>
  <c r="AB331" i="2"/>
  <c r="AH331" i="2"/>
  <c r="AG331" i="2"/>
  <c r="AA331" i="2"/>
  <c r="Z331" i="2"/>
  <c r="X331" i="2"/>
  <c r="AL331" i="2"/>
  <c r="AA330" i="2"/>
  <c r="AC330" i="2"/>
  <c r="W330" i="2"/>
  <c r="AH330" i="2"/>
  <c r="AB330" i="2"/>
  <c r="AG330" i="2"/>
  <c r="Z330" i="2"/>
  <c r="AK330" i="2"/>
  <c r="X330" i="2"/>
  <c r="AL330" i="2"/>
  <c r="AC332" i="2"/>
  <c r="Z332" i="2"/>
  <c r="AA332" i="2"/>
  <c r="AK332" i="2"/>
  <c r="W332" i="2"/>
  <c r="AB332" i="2"/>
  <c r="AH332" i="2"/>
  <c r="AL332" i="2"/>
  <c r="X332" i="2"/>
  <c r="AG332" i="2"/>
  <c r="AB329" i="2"/>
  <c r="AC329" i="2"/>
  <c r="Z329" i="2"/>
  <c r="AA329" i="2"/>
  <c r="W329" i="2"/>
  <c r="AK329" i="2"/>
  <c r="AH329" i="2"/>
  <c r="AG329" i="2"/>
  <c r="X329" i="2"/>
  <c r="AL329" i="2"/>
  <c r="Y331" i="2" l="1"/>
  <c r="Y329" i="2"/>
  <c r="AM332" i="2"/>
  <c r="AE330" i="2"/>
  <c r="AE327" i="2"/>
  <c r="AM327" i="2"/>
  <c r="AE329" i="2"/>
  <c r="AI332" i="2"/>
  <c r="Y333" i="2"/>
  <c r="AM333" i="2"/>
  <c r="AI327" i="2"/>
  <c r="AE331" i="2"/>
  <c r="Y327" i="2"/>
  <c r="Y330" i="2"/>
  <c r="AI331" i="2"/>
  <c r="AM331" i="2"/>
  <c r="AE333" i="2"/>
  <c r="AI334" i="2"/>
  <c r="Y328" i="2"/>
  <c r="AI330" i="2"/>
  <c r="AI329" i="2"/>
  <c r="AM330" i="2"/>
  <c r="AI328" i="2"/>
  <c r="AE332" i="2"/>
  <c r="AM334" i="2"/>
  <c r="AE328" i="2"/>
  <c r="AM329" i="2"/>
  <c r="Y332" i="2"/>
  <c r="AM328" i="2"/>
  <c r="AE334" i="2"/>
  <c r="Y334" i="2"/>
  <c r="AI333" i="2"/>
  <c r="S332" i="2" l="1"/>
  <c r="Q332" i="2" s="1"/>
  <c r="S331" i="2"/>
  <c r="Q331" i="2" s="1"/>
  <c r="S333" i="2"/>
  <c r="Q333" i="2" s="1"/>
  <c r="S329" i="2"/>
  <c r="Q329" i="2" s="1"/>
  <c r="S328" i="2"/>
  <c r="Q328" i="2" s="1"/>
  <c r="S330" i="2"/>
  <c r="Q330" i="2" s="1"/>
  <c r="S327" i="2"/>
  <c r="Q327" i="2" s="1"/>
  <c r="S334" i="2"/>
  <c r="Q334" i="2" s="1"/>
  <c r="P334" i="2" l="1"/>
  <c r="O334" i="2" s="1"/>
  <c r="J334" i="2" s="1"/>
  <c r="P328" i="2"/>
  <c r="O328" i="2" s="1"/>
  <c r="J328" i="2" s="1"/>
  <c r="P329" i="2"/>
  <c r="O329" i="2" s="1"/>
  <c r="J329" i="2" s="1"/>
  <c r="P331" i="2"/>
  <c r="O331" i="2" s="1"/>
  <c r="J331" i="2" s="1"/>
  <c r="P332" i="2"/>
  <c r="O332" i="2" s="1"/>
  <c r="J332" i="2" s="1"/>
  <c r="P333" i="2"/>
  <c r="O333" i="2" s="1"/>
  <c r="J333" i="2" s="1"/>
  <c r="P327" i="2"/>
  <c r="O327" i="2" s="1"/>
  <c r="J327" i="2" s="1"/>
  <c r="P330" i="2"/>
  <c r="O330" i="2" s="1"/>
  <c r="J330" i="2" s="1"/>
  <c r="E87" i="11" l="1"/>
  <c r="Q87" i="11" s="1"/>
  <c r="E86" i="11"/>
  <c r="G86" i="11" s="1"/>
  <c r="E81" i="11"/>
  <c r="N81" i="11" s="1"/>
  <c r="E85" i="11"/>
  <c r="I85" i="11" s="1"/>
  <c r="E84" i="11"/>
  <c r="M84" i="11" s="1"/>
  <c r="E82" i="11"/>
  <c r="N82" i="11" s="1"/>
  <c r="E78" i="11"/>
  <c r="I78" i="11" s="1"/>
  <c r="E80" i="11"/>
  <c r="P80" i="11" s="1"/>
  <c r="E79" i="11"/>
  <c r="O79" i="11" s="1"/>
  <c r="E88" i="11"/>
  <c r="L88" i="11" s="1"/>
  <c r="E83" i="11"/>
  <c r="I83" i="11" s="1"/>
  <c r="E73" i="11"/>
  <c r="E31" i="11"/>
  <c r="E43" i="11"/>
  <c r="E65" i="11"/>
  <c r="E30" i="11"/>
  <c r="E22" i="11"/>
  <c r="E28" i="11"/>
  <c r="E23" i="11"/>
  <c r="E36" i="11"/>
  <c r="E52" i="11"/>
  <c r="E48" i="11"/>
  <c r="E56" i="11"/>
  <c r="E33" i="11"/>
  <c r="E35" i="11"/>
  <c r="E41" i="11"/>
  <c r="E47" i="11"/>
  <c r="E26" i="11"/>
  <c r="E34" i="11"/>
  <c r="E51" i="11"/>
  <c r="E44" i="11"/>
  <c r="E45" i="11"/>
  <c r="E55" i="11"/>
  <c r="E25" i="11"/>
  <c r="E32" i="11"/>
  <c r="E29" i="11"/>
  <c r="E38" i="11"/>
  <c r="E37" i="11"/>
  <c r="E69" i="11"/>
  <c r="E21" i="11"/>
  <c r="E20" i="11"/>
  <c r="E50" i="11"/>
  <c r="E57" i="11"/>
  <c r="E24" i="11"/>
  <c r="E59" i="11"/>
  <c r="E54" i="11"/>
  <c r="E49" i="11"/>
  <c r="E42" i="11"/>
  <c r="E19" i="11"/>
  <c r="E27" i="11"/>
  <c r="E64" i="11"/>
  <c r="E60" i="11"/>
  <c r="E63" i="11"/>
  <c r="E39" i="11"/>
  <c r="E53" i="11"/>
  <c r="E46" i="11"/>
  <c r="E40" i="11"/>
  <c r="E68" i="11"/>
  <c r="E62" i="11"/>
  <c r="E58" i="11"/>
  <c r="E61" i="11"/>
  <c r="E67" i="11"/>
  <c r="E66" i="11"/>
  <c r="E71" i="11"/>
  <c r="E72" i="11"/>
  <c r="E70" i="11"/>
  <c r="E74" i="11"/>
  <c r="E75" i="11"/>
  <c r="E76" i="11"/>
  <c r="I14" i="11"/>
  <c r="I8" i="11"/>
  <c r="M9" i="11"/>
  <c r="F11" i="11"/>
  <c r="M11" i="11"/>
  <c r="I9" i="11"/>
  <c r="K8" i="11"/>
  <c r="L13" i="11"/>
  <c r="L8" i="11"/>
  <c r="I12" i="11"/>
  <c r="F14" i="11"/>
  <c r="E13" i="11"/>
  <c r="E11" i="11"/>
  <c r="M13" i="11"/>
  <c r="E12" i="11"/>
  <c r="M8" i="11"/>
  <c r="P13" i="11"/>
  <c r="G11" i="11"/>
  <c r="E10" i="11"/>
  <c r="P11" i="11"/>
  <c r="P14" i="11"/>
  <c r="G10" i="11"/>
  <c r="F10" i="11"/>
  <c r="K10" i="11"/>
  <c r="G8" i="11"/>
  <c r="L11" i="11"/>
  <c r="G14" i="11"/>
  <c r="G15" i="11"/>
  <c r="P15" i="11"/>
  <c r="E77" i="11"/>
  <c r="I13" i="11"/>
  <c r="F8" i="11"/>
  <c r="K13" i="11"/>
  <c r="G9" i="11"/>
  <c r="M15" i="11"/>
  <c r="E9" i="11"/>
  <c r="F15" i="11"/>
  <c r="M14" i="11"/>
  <c r="E15" i="11"/>
  <c r="F13" i="11"/>
  <c r="L14" i="11"/>
  <c r="K14" i="11"/>
  <c r="I15" i="11"/>
  <c r="M12" i="11"/>
  <c r="L9" i="11"/>
  <c r="K11" i="11"/>
  <c r="I10" i="11"/>
  <c r="I11" i="11"/>
  <c r="G12" i="11"/>
  <c r="K9" i="11"/>
  <c r="L15" i="11"/>
  <c r="P8" i="11"/>
  <c r="M10" i="11"/>
  <c r="K15" i="11"/>
  <c r="E8" i="11"/>
  <c r="P9" i="11"/>
  <c r="E14" i="11"/>
  <c r="F9" i="11"/>
  <c r="K12" i="11"/>
  <c r="F12" i="11"/>
  <c r="P12" i="11"/>
  <c r="P10" i="11"/>
  <c r="L12" i="11"/>
  <c r="L10" i="11"/>
  <c r="G13" i="11"/>
  <c r="N87" i="11" l="1"/>
  <c r="G87" i="11"/>
  <c r="H87" i="11"/>
  <c r="M87" i="11"/>
  <c r="P87" i="11"/>
  <c r="L87" i="11"/>
  <c r="F87" i="11"/>
  <c r="N86" i="11"/>
  <c r="K87" i="11"/>
  <c r="I87" i="11"/>
  <c r="O87" i="11"/>
  <c r="J87" i="11"/>
  <c r="J85" i="11"/>
  <c r="O80" i="11"/>
  <c r="G80" i="11"/>
  <c r="H80" i="11"/>
  <c r="Q80" i="11"/>
  <c r="L85" i="11"/>
  <c r="Q84" i="11"/>
  <c r="H84" i="11"/>
  <c r="I84" i="11"/>
  <c r="Q81" i="11"/>
  <c r="K86" i="11"/>
  <c r="J81" i="11"/>
  <c r="G81" i="11"/>
  <c r="L81" i="11"/>
  <c r="P86" i="11"/>
  <c r="O86" i="11"/>
  <c r="O81" i="11"/>
  <c r="F81" i="11"/>
  <c r="K81" i="11"/>
  <c r="P81" i="11"/>
  <c r="I81" i="11"/>
  <c r="H81" i="11"/>
  <c r="M81" i="11"/>
  <c r="M86" i="11"/>
  <c r="Q86" i="11"/>
  <c r="O84" i="11"/>
  <c r="G84" i="11"/>
  <c r="L84" i="11"/>
  <c r="M83" i="11"/>
  <c r="F83" i="11"/>
  <c r="L82" i="11"/>
  <c r="O82" i="11"/>
  <c r="P82" i="11"/>
  <c r="H82" i="11"/>
  <c r="K84" i="11"/>
  <c r="F84" i="11"/>
  <c r="P84" i="11"/>
  <c r="F86" i="11"/>
  <c r="N84" i="11"/>
  <c r="H86" i="11"/>
  <c r="I86" i="11"/>
  <c r="J84" i="11"/>
  <c r="J86" i="11"/>
  <c r="L86" i="11"/>
  <c r="K83" i="11"/>
  <c r="J80" i="11"/>
  <c r="M82" i="11"/>
  <c r="G82" i="11"/>
  <c r="Q82" i="11"/>
  <c r="I82" i="11"/>
  <c r="J82" i="11"/>
  <c r="P85" i="11"/>
  <c r="F85" i="11"/>
  <c r="N79" i="11"/>
  <c r="M79" i="11"/>
  <c r="P79" i="11"/>
  <c r="G88" i="11"/>
  <c r="I88" i="11"/>
  <c r="Q79" i="11"/>
  <c r="J88" i="11"/>
  <c r="H88" i="11"/>
  <c r="F82" i="11"/>
  <c r="N88" i="11"/>
  <c r="F88" i="11"/>
  <c r="K82" i="11"/>
  <c r="P88" i="11"/>
  <c r="Q83" i="11"/>
  <c r="H83" i="11"/>
  <c r="P83" i="11"/>
  <c r="L83" i="11"/>
  <c r="O83" i="11"/>
  <c r="G83" i="11"/>
  <c r="N85" i="11"/>
  <c r="K85" i="11"/>
  <c r="H79" i="11"/>
  <c r="G85" i="11"/>
  <c r="O88" i="11"/>
  <c r="K78" i="11"/>
  <c r="M85" i="11"/>
  <c r="K88" i="11"/>
  <c r="M78" i="11"/>
  <c r="L78" i="11"/>
  <c r="F78" i="11"/>
  <c r="J78" i="11" s="1"/>
  <c r="M88" i="11"/>
  <c r="Q88" i="11"/>
  <c r="G78" i="11"/>
  <c r="O85" i="11"/>
  <c r="F80" i="11"/>
  <c r="P78" i="11"/>
  <c r="Q85" i="11"/>
  <c r="N80" i="11"/>
  <c r="H85" i="11"/>
  <c r="I79" i="11"/>
  <c r="G79" i="11"/>
  <c r="Q10" i="11"/>
  <c r="K79" i="11"/>
  <c r="J83" i="11"/>
  <c r="Q14" i="11"/>
  <c r="F79" i="11"/>
  <c r="L79" i="11"/>
  <c r="K80" i="11"/>
  <c r="Q11" i="11"/>
  <c r="L80" i="11"/>
  <c r="J79" i="11"/>
  <c r="M80" i="11"/>
  <c r="H11" i="11"/>
  <c r="I80" i="11"/>
  <c r="N83" i="11"/>
  <c r="Q12" i="11"/>
  <c r="J11" i="11"/>
  <c r="H14" i="11"/>
  <c r="J15" i="11"/>
  <c r="F70" i="11"/>
  <c r="P70" i="11"/>
  <c r="L70" i="11"/>
  <c r="K70" i="11"/>
  <c r="G70" i="11"/>
  <c r="M70" i="11"/>
  <c r="I70" i="11"/>
  <c r="I72" i="11"/>
  <c r="F72" i="11"/>
  <c r="K72" i="11"/>
  <c r="P72" i="11"/>
  <c r="M72" i="11"/>
  <c r="L72" i="11"/>
  <c r="G72" i="11"/>
  <c r="G71" i="11"/>
  <c r="P71" i="11"/>
  <c r="F71" i="11"/>
  <c r="M71" i="11"/>
  <c r="L71" i="11"/>
  <c r="I71" i="11"/>
  <c r="K71" i="11"/>
  <c r="M66" i="11"/>
  <c r="I66" i="11"/>
  <c r="F66" i="11"/>
  <c r="G66" i="11"/>
  <c r="P66" i="11"/>
  <c r="L66" i="11"/>
  <c r="K66" i="11"/>
  <c r="P67" i="11"/>
  <c r="K67" i="11"/>
  <c r="I67" i="11"/>
  <c r="F67" i="11"/>
  <c r="L67" i="11"/>
  <c r="G67" i="11"/>
  <c r="M67" i="11"/>
  <c r="L61" i="11"/>
  <c r="I61" i="11"/>
  <c r="K61" i="11"/>
  <c r="G61" i="11"/>
  <c r="M61" i="11"/>
  <c r="F61" i="11"/>
  <c r="P61" i="11"/>
  <c r="M58" i="11"/>
  <c r="L58" i="11"/>
  <c r="F58" i="11"/>
  <c r="K58" i="11"/>
  <c r="I58" i="11"/>
  <c r="P58" i="11"/>
  <c r="G58" i="11"/>
  <c r="P62" i="11"/>
  <c r="L62" i="11"/>
  <c r="M62" i="11"/>
  <c r="I62" i="11"/>
  <c r="K62" i="11"/>
  <c r="F62" i="11"/>
  <c r="G62" i="11"/>
  <c r="L68" i="11"/>
  <c r="K68" i="11"/>
  <c r="I68" i="11"/>
  <c r="G68" i="11"/>
  <c r="M68" i="11"/>
  <c r="P68" i="11"/>
  <c r="F68" i="11"/>
  <c r="M40" i="11"/>
  <c r="L40" i="11"/>
  <c r="G40" i="11"/>
  <c r="F40" i="11"/>
  <c r="K40" i="11"/>
  <c r="I40" i="11"/>
  <c r="P40" i="11"/>
  <c r="P46" i="11"/>
  <c r="F46" i="11"/>
  <c r="G46" i="11"/>
  <c r="L46" i="11"/>
  <c r="K46" i="11"/>
  <c r="I46" i="11"/>
  <c r="M46" i="11"/>
  <c r="K53" i="11"/>
  <c r="P53" i="11"/>
  <c r="F53" i="11"/>
  <c r="M53" i="11"/>
  <c r="I53" i="11"/>
  <c r="L53" i="11"/>
  <c r="G53" i="11"/>
  <c r="I39" i="11"/>
  <c r="K39" i="11"/>
  <c r="G39" i="11"/>
  <c r="P39" i="11"/>
  <c r="F39" i="11"/>
  <c r="L39" i="11"/>
  <c r="M39" i="11"/>
  <c r="G63" i="11"/>
  <c r="P63" i="11"/>
  <c r="F63" i="11"/>
  <c r="I63" i="11"/>
  <c r="M63" i="11"/>
  <c r="L63" i="11"/>
  <c r="K63" i="11"/>
  <c r="M60" i="11"/>
  <c r="I60" i="11"/>
  <c r="L60" i="11"/>
  <c r="G60" i="11"/>
  <c r="F60" i="11"/>
  <c r="P60" i="11"/>
  <c r="K60" i="11"/>
  <c r="K64" i="11"/>
  <c r="P64" i="11"/>
  <c r="F64" i="11"/>
  <c r="I64" i="11"/>
  <c r="G64" i="11"/>
  <c r="M64" i="11"/>
  <c r="L64" i="11"/>
  <c r="M27" i="11"/>
  <c r="F27" i="11"/>
  <c r="P27" i="11"/>
  <c r="G27" i="11"/>
  <c r="I27" i="11"/>
  <c r="K27" i="11"/>
  <c r="L27" i="11"/>
  <c r="G19" i="11"/>
  <c r="M19" i="11"/>
  <c r="P19" i="11"/>
  <c r="L19" i="11"/>
  <c r="I19" i="11"/>
  <c r="F19" i="11"/>
  <c r="K19" i="11"/>
  <c r="F42" i="11"/>
  <c r="K42" i="11"/>
  <c r="L42" i="11"/>
  <c r="M42" i="11"/>
  <c r="G42" i="11"/>
  <c r="I42" i="11"/>
  <c r="P42" i="11"/>
  <c r="F49" i="11"/>
  <c r="L49" i="11"/>
  <c r="K49" i="11"/>
  <c r="I49" i="11"/>
  <c r="G49" i="11"/>
  <c r="M49" i="11"/>
  <c r="P49" i="11"/>
  <c r="G54" i="11"/>
  <c r="F54" i="11"/>
  <c r="K54" i="11"/>
  <c r="M54" i="11"/>
  <c r="L54" i="11"/>
  <c r="P54" i="11"/>
  <c r="I54" i="11"/>
  <c r="I59" i="11"/>
  <c r="G59" i="11"/>
  <c r="F59" i="11"/>
  <c r="M59" i="11"/>
  <c r="L59" i="11"/>
  <c r="K59" i="11"/>
  <c r="P59" i="11"/>
  <c r="F24" i="11"/>
  <c r="M24" i="11"/>
  <c r="L24" i="11"/>
  <c r="P24" i="11"/>
  <c r="I24" i="11"/>
  <c r="G24" i="11"/>
  <c r="K24" i="11"/>
  <c r="K57" i="11"/>
  <c r="I57" i="11"/>
  <c r="P57" i="11"/>
  <c r="G57" i="11"/>
  <c r="M57" i="11"/>
  <c r="F57" i="11"/>
  <c r="L57" i="11"/>
  <c r="G50" i="11"/>
  <c r="F50" i="11"/>
  <c r="M50" i="11"/>
  <c r="I50" i="11"/>
  <c r="L50" i="11"/>
  <c r="K50" i="11"/>
  <c r="P50" i="11"/>
  <c r="K20" i="11"/>
  <c r="P20" i="11"/>
  <c r="I20" i="11"/>
  <c r="G20" i="11"/>
  <c r="L20" i="11"/>
  <c r="M20" i="11"/>
  <c r="F20" i="11"/>
  <c r="K21" i="11"/>
  <c r="I21" i="11"/>
  <c r="F21" i="11"/>
  <c r="L21" i="11"/>
  <c r="M21" i="11"/>
  <c r="P21" i="11"/>
  <c r="G21" i="11"/>
  <c r="M69" i="11"/>
  <c r="P69" i="11"/>
  <c r="F69" i="11"/>
  <c r="I69" i="11"/>
  <c r="G69" i="11"/>
  <c r="L69" i="11"/>
  <c r="K69" i="11"/>
  <c r="G37" i="11"/>
  <c r="F37" i="11"/>
  <c r="P37" i="11"/>
  <c r="L37" i="11"/>
  <c r="K37" i="11"/>
  <c r="M37" i="11"/>
  <c r="I37" i="11"/>
  <c r="L38" i="11"/>
  <c r="M38" i="11"/>
  <c r="G38" i="11"/>
  <c r="F38" i="11"/>
  <c r="K38" i="11"/>
  <c r="P38" i="11"/>
  <c r="I38" i="11"/>
  <c r="G29" i="11"/>
  <c r="L29" i="11"/>
  <c r="K29" i="11"/>
  <c r="I29" i="11"/>
  <c r="M29" i="11"/>
  <c r="F29" i="11"/>
  <c r="P29" i="11"/>
  <c r="L32" i="11"/>
  <c r="G32" i="11"/>
  <c r="I32" i="11"/>
  <c r="M32" i="11"/>
  <c r="P32" i="11"/>
  <c r="K32" i="11"/>
  <c r="F32" i="11"/>
  <c r="I25" i="11"/>
  <c r="F25" i="11"/>
  <c r="K25" i="11"/>
  <c r="G25" i="11"/>
  <c r="P25" i="11"/>
  <c r="M25" i="11"/>
  <c r="L25" i="11"/>
  <c r="P55" i="11"/>
  <c r="F55" i="11"/>
  <c r="M55" i="11"/>
  <c r="K55" i="11"/>
  <c r="I55" i="11"/>
  <c r="G55" i="11"/>
  <c r="L55" i="11"/>
  <c r="I45" i="11"/>
  <c r="G45" i="11"/>
  <c r="P45" i="11"/>
  <c r="L45" i="11"/>
  <c r="K45" i="11"/>
  <c r="F45" i="11"/>
  <c r="M45" i="11"/>
  <c r="G44" i="11"/>
  <c r="P44" i="11"/>
  <c r="L44" i="11"/>
  <c r="F44" i="11"/>
  <c r="K44" i="11"/>
  <c r="I44" i="11"/>
  <c r="M44" i="11"/>
  <c r="P51" i="11"/>
  <c r="F51" i="11"/>
  <c r="I51" i="11"/>
  <c r="L51" i="11"/>
  <c r="K51" i="11"/>
  <c r="M51" i="11"/>
  <c r="G51" i="11"/>
  <c r="P34" i="11"/>
  <c r="L34" i="11"/>
  <c r="K34" i="11"/>
  <c r="M34" i="11"/>
  <c r="F34" i="11"/>
  <c r="G34" i="11"/>
  <c r="I34" i="11"/>
  <c r="M26" i="11"/>
  <c r="F26" i="11"/>
  <c r="P26" i="11"/>
  <c r="G26" i="11"/>
  <c r="I26" i="11"/>
  <c r="L26" i="11"/>
  <c r="K26" i="11"/>
  <c r="F47" i="11"/>
  <c r="K47" i="11"/>
  <c r="I47" i="11"/>
  <c r="P47" i="11"/>
  <c r="G47" i="11"/>
  <c r="L47" i="11"/>
  <c r="M47" i="11"/>
  <c r="I41" i="11"/>
  <c r="K41" i="11"/>
  <c r="L41" i="11"/>
  <c r="P41" i="11"/>
  <c r="M41" i="11"/>
  <c r="G41" i="11"/>
  <c r="F41" i="11"/>
  <c r="L35" i="11"/>
  <c r="P35" i="11"/>
  <c r="K35" i="11"/>
  <c r="F35" i="11"/>
  <c r="G35" i="11"/>
  <c r="I35" i="11"/>
  <c r="M35" i="11"/>
  <c r="I33" i="11"/>
  <c r="G33" i="11"/>
  <c r="P33" i="11"/>
  <c r="F33" i="11"/>
  <c r="M33" i="11"/>
  <c r="L33" i="11"/>
  <c r="K33" i="11"/>
  <c r="L56" i="11"/>
  <c r="F56" i="11"/>
  <c r="M56" i="11"/>
  <c r="I56" i="11"/>
  <c r="G56" i="11"/>
  <c r="K56" i="11"/>
  <c r="P56" i="11"/>
  <c r="P48" i="11"/>
  <c r="L48" i="11"/>
  <c r="K48" i="11"/>
  <c r="I48" i="11"/>
  <c r="M48" i="11"/>
  <c r="G48" i="11"/>
  <c r="F48" i="11"/>
  <c r="K52" i="11"/>
  <c r="F52" i="11"/>
  <c r="P52" i="11"/>
  <c r="M52" i="11"/>
  <c r="L52" i="11"/>
  <c r="I52" i="11"/>
  <c r="G52" i="11"/>
  <c r="K36" i="11"/>
  <c r="I36" i="11"/>
  <c r="G36" i="11"/>
  <c r="L36" i="11"/>
  <c r="P36" i="11"/>
  <c r="M36" i="11"/>
  <c r="F36" i="11"/>
  <c r="G23" i="11"/>
  <c r="P23" i="11"/>
  <c r="M23" i="11"/>
  <c r="F23" i="11"/>
  <c r="K23" i="11"/>
  <c r="L23" i="11"/>
  <c r="I23" i="11"/>
  <c r="I28" i="11"/>
  <c r="K28" i="11"/>
  <c r="G28" i="11"/>
  <c r="P28" i="11"/>
  <c r="F28" i="11"/>
  <c r="M28" i="11"/>
  <c r="L28" i="11"/>
  <c r="G22" i="11"/>
  <c r="L22" i="11"/>
  <c r="M22" i="11"/>
  <c r="F22" i="11"/>
  <c r="P22" i="11"/>
  <c r="K22" i="11"/>
  <c r="I22" i="11"/>
  <c r="F30" i="11"/>
  <c r="M30" i="11"/>
  <c r="G30" i="11"/>
  <c r="L30" i="11"/>
  <c r="K30" i="11"/>
  <c r="I30" i="11"/>
  <c r="P30" i="11"/>
  <c r="K65" i="11"/>
  <c r="P65" i="11"/>
  <c r="I65" i="11"/>
  <c r="M65" i="11"/>
  <c r="L65" i="11"/>
  <c r="G65" i="11"/>
  <c r="F65" i="11"/>
  <c r="G43" i="11"/>
  <c r="K43" i="11"/>
  <c r="I43" i="11"/>
  <c r="F43" i="11"/>
  <c r="P43" i="11"/>
  <c r="L43" i="11"/>
  <c r="M43" i="11"/>
  <c r="F31" i="11"/>
  <c r="M31" i="11"/>
  <c r="G31" i="11"/>
  <c r="K31" i="11"/>
  <c r="P31" i="11"/>
  <c r="L31" i="11"/>
  <c r="I31" i="11"/>
  <c r="L73" i="11"/>
  <c r="M73" i="11"/>
  <c r="F73" i="11"/>
  <c r="P73" i="11"/>
  <c r="G73" i="11"/>
  <c r="I73" i="11"/>
  <c r="K73" i="11"/>
  <c r="F17" i="11"/>
  <c r="J13" i="11"/>
  <c r="Q15" i="11"/>
  <c r="H15" i="11"/>
  <c r="Q13" i="11"/>
  <c r="K76" i="11"/>
  <c r="I76" i="11"/>
  <c r="L76" i="11"/>
  <c r="M76" i="11"/>
  <c r="F76" i="11"/>
  <c r="P76" i="11"/>
  <c r="G76" i="11"/>
  <c r="M75" i="11"/>
  <c r="K75" i="11"/>
  <c r="L75" i="11"/>
  <c r="F75" i="11"/>
  <c r="G75" i="11"/>
  <c r="P75" i="11"/>
  <c r="I75" i="11"/>
  <c r="M74" i="11"/>
  <c r="G74" i="11"/>
  <c r="F74" i="11"/>
  <c r="L74" i="11"/>
  <c r="I74" i="11"/>
  <c r="P74" i="11"/>
  <c r="K74" i="11"/>
  <c r="H10" i="11"/>
  <c r="J10" i="11"/>
  <c r="Q9" i="11"/>
  <c r="N10" i="11"/>
  <c r="O10" i="11"/>
  <c r="P17" i="11"/>
  <c r="Q8" i="11"/>
  <c r="O11" i="11"/>
  <c r="N11" i="11"/>
  <c r="O9" i="11"/>
  <c r="N9" i="11"/>
  <c r="J9" i="11"/>
  <c r="O12" i="11"/>
  <c r="N12" i="11"/>
  <c r="N15" i="11"/>
  <c r="O15" i="11"/>
  <c r="L17" i="11"/>
  <c r="M17" i="11"/>
  <c r="O8" i="11"/>
  <c r="K17" i="11"/>
  <c r="N8" i="11"/>
  <c r="M77" i="11"/>
  <c r="F77" i="11"/>
  <c r="L77" i="11"/>
  <c r="I77" i="11"/>
  <c r="G77" i="11"/>
  <c r="P77" i="11"/>
  <c r="K77" i="11"/>
  <c r="J12" i="11"/>
  <c r="G17" i="11"/>
  <c r="H8" i="11"/>
  <c r="N14" i="11"/>
  <c r="O14" i="11"/>
  <c r="H9" i="11"/>
  <c r="J8" i="11"/>
  <c r="I17" i="11"/>
  <c r="H12" i="11"/>
  <c r="H13" i="11"/>
  <c r="N13" i="11"/>
  <c r="O13" i="11"/>
  <c r="J14" i="11"/>
  <c r="Q78" i="11" l="1"/>
  <c r="H78" i="11"/>
  <c r="Q75" i="11"/>
  <c r="H66" i="11"/>
  <c r="H76" i="11"/>
  <c r="Q76" i="11"/>
  <c r="J76" i="11"/>
  <c r="N76" i="11"/>
  <c r="O76" i="11"/>
  <c r="J70" i="11"/>
  <c r="N78" i="11"/>
  <c r="J72" i="11"/>
  <c r="J75" i="11"/>
  <c r="H75" i="11"/>
  <c r="O75" i="11"/>
  <c r="J77" i="11"/>
  <c r="N75" i="11"/>
  <c r="H77" i="11"/>
  <c r="N77" i="11"/>
  <c r="Q77" i="11"/>
  <c r="J65" i="11"/>
  <c r="O78" i="11"/>
  <c r="O72" i="11"/>
  <c r="Q72" i="11"/>
  <c r="H72" i="11"/>
  <c r="H58" i="11"/>
  <c r="Q66" i="11"/>
  <c r="H70" i="11"/>
  <c r="Q60" i="11"/>
  <c r="H69" i="11"/>
  <c r="N72" i="11"/>
  <c r="H62" i="11"/>
  <c r="Q73" i="11"/>
  <c r="Q70" i="11"/>
  <c r="J69" i="11"/>
  <c r="J67" i="11"/>
  <c r="O65" i="11"/>
  <c r="H67" i="11"/>
  <c r="J73" i="11"/>
  <c r="H73" i="11"/>
  <c r="N71" i="11"/>
  <c r="O73" i="11"/>
  <c r="Q61" i="11"/>
  <c r="O74" i="11"/>
  <c r="J71" i="11"/>
  <c r="O66" i="11"/>
  <c r="H65" i="11"/>
  <c r="N65" i="11"/>
  <c r="H60" i="11"/>
  <c r="N74" i="11"/>
  <c r="Q58" i="11"/>
  <c r="Q67" i="11"/>
  <c r="N63" i="11"/>
  <c r="Q69" i="11"/>
  <c r="N67" i="11"/>
  <c r="Q65" i="11"/>
  <c r="J58" i="11"/>
  <c r="Q74" i="11"/>
  <c r="J74" i="11"/>
  <c r="Q71" i="11"/>
  <c r="N70" i="11"/>
  <c r="H74" i="11"/>
  <c r="H68" i="11"/>
  <c r="J68" i="11"/>
  <c r="N68" i="11"/>
  <c r="N69" i="11"/>
  <c r="J66" i="11"/>
  <c r="Q68" i="11"/>
  <c r="O67" i="11"/>
  <c r="O71" i="11"/>
  <c r="N73" i="11"/>
  <c r="N66" i="11"/>
  <c r="J56" i="11"/>
  <c r="O68" i="11"/>
  <c r="O70" i="11"/>
  <c r="O69" i="11"/>
  <c r="H71" i="11"/>
  <c r="N59" i="11"/>
  <c r="J63" i="11"/>
  <c r="H61" i="11"/>
  <c r="H56" i="11"/>
  <c r="H48" i="11"/>
  <c r="Q49" i="11"/>
  <c r="Q63" i="11"/>
  <c r="J64" i="11"/>
  <c r="J57" i="11"/>
  <c r="Q62" i="11"/>
  <c r="H63" i="11"/>
  <c r="J61" i="11"/>
  <c r="J62" i="11"/>
  <c r="Q57" i="11"/>
  <c r="Q56" i="11"/>
  <c r="N58" i="11"/>
  <c r="N61" i="11"/>
  <c r="O62" i="11"/>
  <c r="H57" i="11"/>
  <c r="N56" i="11"/>
  <c r="J50" i="11"/>
  <c r="O61" i="11"/>
  <c r="O57" i="11"/>
  <c r="Q64" i="11"/>
  <c r="N60" i="11"/>
  <c r="J49" i="11"/>
  <c r="J60" i="11"/>
  <c r="O58" i="11"/>
  <c r="N55" i="11"/>
  <c r="N64" i="11"/>
  <c r="O63" i="11"/>
  <c r="Q55" i="11"/>
  <c r="Q59" i="11"/>
  <c r="H55" i="11"/>
  <c r="H59" i="11"/>
  <c r="H64" i="11"/>
  <c r="J46" i="11"/>
  <c r="J59" i="11"/>
  <c r="O56" i="11"/>
  <c r="O64" i="11"/>
  <c r="N57" i="11"/>
  <c r="O59" i="11"/>
  <c r="J55" i="11"/>
  <c r="N62" i="11"/>
  <c r="O60" i="11"/>
  <c r="O55" i="11"/>
  <c r="H46" i="11"/>
  <c r="H53" i="11"/>
  <c r="N51" i="11"/>
  <c r="Q53" i="11"/>
  <c r="J48" i="11"/>
  <c r="Q48" i="11"/>
  <c r="H49" i="11"/>
  <c r="H39" i="11"/>
  <c r="J53" i="11"/>
  <c r="Q54" i="11"/>
  <c r="N50" i="11"/>
  <c r="O53" i="11"/>
  <c r="H47" i="11"/>
  <c r="Q47" i="11"/>
  <c r="O49" i="11"/>
  <c r="N48" i="11"/>
  <c r="J47" i="11"/>
  <c r="O47" i="11"/>
  <c r="H54" i="11"/>
  <c r="N53" i="11"/>
  <c r="N49" i="11"/>
  <c r="H50" i="11"/>
  <c r="H51" i="11"/>
  <c r="Q51" i="11"/>
  <c r="J52" i="11"/>
  <c r="O50" i="11"/>
  <c r="N52" i="11"/>
  <c r="O48" i="11"/>
  <c r="Q50" i="11"/>
  <c r="N47" i="11"/>
  <c r="N54" i="11"/>
  <c r="H52" i="11"/>
  <c r="O51" i="11"/>
  <c r="O52" i="11"/>
  <c r="J51" i="11"/>
  <c r="O54" i="11"/>
  <c r="J41" i="11"/>
  <c r="J54" i="11"/>
  <c r="Q52" i="11"/>
  <c r="N46" i="11"/>
  <c r="Q43" i="11"/>
  <c r="O42" i="11"/>
  <c r="J44" i="11"/>
  <c r="Q39" i="11"/>
  <c r="Q42" i="11"/>
  <c r="J42" i="11"/>
  <c r="N40" i="11"/>
  <c r="H42" i="11"/>
  <c r="Q41" i="11"/>
  <c r="J39" i="11"/>
  <c r="N41" i="11"/>
  <c r="O39" i="11"/>
  <c r="J43" i="11"/>
  <c r="N39" i="11"/>
  <c r="Q46" i="11"/>
  <c r="O40" i="11"/>
  <c r="O45" i="11"/>
  <c r="Q45" i="11"/>
  <c r="J45" i="11"/>
  <c r="H41" i="11"/>
  <c r="J40" i="11"/>
  <c r="O43" i="11"/>
  <c r="H43" i="11"/>
  <c r="H45" i="11"/>
  <c r="O41" i="11"/>
  <c r="Q40" i="11"/>
  <c r="H40" i="11"/>
  <c r="O44" i="11"/>
  <c r="Q44" i="11"/>
  <c r="N42" i="11"/>
  <c r="N45" i="11"/>
  <c r="H44" i="11"/>
  <c r="N43" i="11"/>
  <c r="O46" i="11"/>
  <c r="N44" i="11"/>
  <c r="Q34" i="11"/>
  <c r="Q37" i="11"/>
  <c r="J27" i="11"/>
  <c r="N27" i="11"/>
  <c r="Q25" i="11"/>
  <c r="Q28" i="11"/>
  <c r="J19" i="11"/>
  <c r="N33" i="11"/>
  <c r="Q29" i="11"/>
  <c r="J38" i="11"/>
  <c r="H30" i="11"/>
  <c r="H26" i="11"/>
  <c r="Q26" i="11"/>
  <c r="H34" i="11"/>
  <c r="O37" i="11"/>
  <c r="H27" i="11"/>
  <c r="H24" i="11"/>
  <c r="Q27" i="11"/>
  <c r="Q23" i="11"/>
  <c r="O29" i="11"/>
  <c r="H22" i="11"/>
  <c r="H25" i="11"/>
  <c r="H23" i="11"/>
  <c r="N24" i="11"/>
  <c r="J37" i="11"/>
  <c r="J23" i="11"/>
  <c r="H35" i="11"/>
  <c r="J25" i="11"/>
  <c r="J33" i="11"/>
  <c r="N34" i="11"/>
  <c r="O24" i="11"/>
  <c r="O19" i="11"/>
  <c r="J24" i="11"/>
  <c r="O30" i="11"/>
  <c r="H20" i="11"/>
  <c r="Q30" i="11"/>
  <c r="N37" i="11"/>
  <c r="Q22" i="11"/>
  <c r="Q24" i="11"/>
  <c r="O25" i="11"/>
  <c r="Q20" i="11"/>
  <c r="J22" i="11"/>
  <c r="O22" i="11"/>
  <c r="H37" i="11"/>
  <c r="J35" i="11"/>
  <c r="Q38" i="11"/>
  <c r="O20" i="11"/>
  <c r="H31" i="11"/>
  <c r="O23" i="11"/>
  <c r="N35" i="11"/>
  <c r="Q32" i="11"/>
  <c r="H19" i="11"/>
  <c r="H32" i="11"/>
  <c r="N19" i="11"/>
  <c r="J30" i="11"/>
  <c r="N26" i="11"/>
  <c r="H29" i="11"/>
  <c r="N30" i="11"/>
  <c r="O34" i="11"/>
  <c r="J26" i="11"/>
  <c r="O33" i="11"/>
  <c r="J29" i="11"/>
  <c r="Q33" i="11"/>
  <c r="N31" i="11"/>
  <c r="O32" i="11"/>
  <c r="H33" i="11"/>
  <c r="J34" i="11"/>
  <c r="N25" i="11"/>
  <c r="N29" i="11"/>
  <c r="J21" i="11"/>
  <c r="H21" i="11"/>
  <c r="N20" i="11"/>
  <c r="Q19" i="11"/>
  <c r="Q35" i="11"/>
  <c r="J36" i="11"/>
  <c r="H28" i="11"/>
  <c r="O26" i="11"/>
  <c r="N36" i="11"/>
  <c r="J28" i="11"/>
  <c r="O38" i="11"/>
  <c r="J20" i="11"/>
  <c r="O31" i="11"/>
  <c r="N23" i="11"/>
  <c r="Q36" i="11"/>
  <c r="O28" i="11"/>
  <c r="H38" i="11"/>
  <c r="N21" i="11"/>
  <c r="H36" i="11"/>
  <c r="J32" i="11"/>
  <c r="N22" i="11"/>
  <c r="Q21" i="11"/>
  <c r="O27" i="11"/>
  <c r="O21" i="11"/>
  <c r="N32" i="11"/>
  <c r="N28" i="11"/>
  <c r="O36" i="11"/>
  <c r="J31" i="11"/>
  <c r="O35" i="11"/>
  <c r="N38" i="11"/>
  <c r="Q31" i="11"/>
  <c r="O17" i="11"/>
  <c r="H17" i="11"/>
  <c r="J17" i="11"/>
  <c r="Q17" i="11"/>
  <c r="N17" i="11"/>
  <c r="O77" i="11"/>
</calcChain>
</file>

<file path=xl/sharedStrings.xml><?xml version="1.0" encoding="utf-8"?>
<sst xmlns="http://schemas.openxmlformats.org/spreadsheetml/2006/main" count="1243" uniqueCount="244">
  <si>
    <t>Lease Performance by Month - Force Rank</t>
  </si>
  <si>
    <t>Month/Year</t>
  </si>
  <si>
    <t>Dec 2025</t>
  </si>
  <si>
    <t xml:space="preserve">      &lt;-- Click to Select Month (next 180 days available for review)</t>
  </si>
  <si>
    <t>LEASE RETENTION: 
New Lease Only</t>
  </si>
  <si>
    <t>DEALERSHIP RETENTION: 
New Lease, New Purchase, Lease Buyout, 
Lease Extended</t>
  </si>
  <si>
    <t>PENDING: 
In Progress, 
Non-Responsive, 
Untouched</t>
  </si>
  <si>
    <t>NON-RETAINED: 
Lease Drop Off, 
Lost Business, 
PAG Referral</t>
  </si>
  <si>
    <t>Market / Store</t>
  </si>
  <si>
    <t>Total Opportunities</t>
  </si>
  <si>
    <t>New 
Lease</t>
  </si>
  <si>
    <t>%</t>
  </si>
  <si>
    <t>Total 
Retained</t>
  </si>
  <si>
    <t>In 
Progress</t>
  </si>
  <si>
    <t>Non 
Responsive</t>
  </si>
  <si>
    <t>Untouched</t>
  </si>
  <si>
    <t># Pending</t>
  </si>
  <si>
    <t># Non-
Retained</t>
  </si>
  <si>
    <t>RGN-1</t>
  </si>
  <si>
    <t>RGN-2</t>
  </si>
  <si>
    <t>RGN-3</t>
  </si>
  <si>
    <t>RGN-4</t>
  </si>
  <si>
    <t>RGN-5</t>
  </si>
  <si>
    <t>RGN-6</t>
  </si>
  <si>
    <t>RGN-7</t>
  </si>
  <si>
    <t>RGN-8</t>
  </si>
  <si>
    <t>RGN-9</t>
  </si>
  <si>
    <t>WEST TOTAL</t>
  </si>
  <si>
    <t>WEST-1</t>
  </si>
  <si>
    <t>WEST-2</t>
  </si>
  <si>
    <t>WEST-3</t>
  </si>
  <si>
    <t>WEST-4</t>
  </si>
  <si>
    <t>WEST-5</t>
  </si>
  <si>
    <t>WEST-6</t>
  </si>
  <si>
    <t>WEST-7</t>
  </si>
  <si>
    <t>WEST-8</t>
  </si>
  <si>
    <t>WEST-9</t>
  </si>
  <si>
    <t>WEST-10</t>
  </si>
  <si>
    <t>WEST-11</t>
  </si>
  <si>
    <t>WEST-12</t>
  </si>
  <si>
    <t>WEST-13</t>
  </si>
  <si>
    <t>WEST-14</t>
  </si>
  <si>
    <t>WEST-15</t>
  </si>
  <si>
    <t>WEST-16</t>
  </si>
  <si>
    <t>WEST-17</t>
  </si>
  <si>
    <t>WEST-18</t>
  </si>
  <si>
    <t>WEST-19</t>
  </si>
  <si>
    <t>WEST-20</t>
  </si>
  <si>
    <t>WEST-21</t>
  </si>
  <si>
    <t>WEST-22</t>
  </si>
  <si>
    <t>WEST-23</t>
  </si>
  <si>
    <t>WEST-24</t>
  </si>
  <si>
    <t>WEST-25</t>
  </si>
  <si>
    <t>WEST-26</t>
  </si>
  <si>
    <t>WEST-27</t>
  </si>
  <si>
    <t>WEST-28</t>
  </si>
  <si>
    <t>WEST-29</t>
  </si>
  <si>
    <t>WEST-30</t>
  </si>
  <si>
    <t>WEST-31</t>
  </si>
  <si>
    <t>WEST-32</t>
  </si>
  <si>
    <t>WEST-33</t>
  </si>
  <si>
    <t>WEST-34</t>
  </si>
  <si>
    <t>WEST-35</t>
  </si>
  <si>
    <t>WEST-36</t>
  </si>
  <si>
    <t>WEST-37</t>
  </si>
  <si>
    <t>WEST-38</t>
  </si>
  <si>
    <t>WEST-39</t>
  </si>
  <si>
    <t>WEST-40</t>
  </si>
  <si>
    <t>WEST-41</t>
  </si>
  <si>
    <t>WEST-42</t>
  </si>
  <si>
    <t>WEST-43</t>
  </si>
  <si>
    <t>WEST-44</t>
  </si>
  <si>
    <t>WEST-45</t>
  </si>
  <si>
    <t>WEST-46</t>
  </si>
  <si>
    <t>WEST-47</t>
  </si>
  <si>
    <t>WEST-48</t>
  </si>
  <si>
    <t>WEST-49</t>
  </si>
  <si>
    <t>WEST-50</t>
  </si>
  <si>
    <t>WEST-51</t>
  </si>
  <si>
    <t>WEST-52</t>
  </si>
  <si>
    <t>WEST-53</t>
  </si>
  <si>
    <t>WEST-54</t>
  </si>
  <si>
    <t>WEST-55</t>
  </si>
  <si>
    <t>WEST-56</t>
  </si>
  <si>
    <t>WEST-57</t>
  </si>
  <si>
    <t>WEST-58</t>
  </si>
  <si>
    <t>WEST-59</t>
  </si>
  <si>
    <t>WEST-60</t>
  </si>
  <si>
    <t>WEST-61</t>
  </si>
  <si>
    <t>WEST-62</t>
  </si>
  <si>
    <t>WEST-63</t>
  </si>
  <si>
    <t>WEST-64</t>
  </si>
  <si>
    <t>WEST-65</t>
  </si>
  <si>
    <t>WEST-66</t>
  </si>
  <si>
    <t>WEST-67</t>
  </si>
  <si>
    <t>WEST-68</t>
  </si>
  <si>
    <t>WEST-69</t>
  </si>
  <si>
    <t>WEST-70</t>
  </si>
  <si>
    <t>30-Day Lease Performance - Summary By Brand</t>
  </si>
  <si>
    <t>Q1 Objective</t>
  </si>
  <si>
    <t>Store Name</t>
  </si>
  <si>
    <t>Acura</t>
  </si>
  <si>
    <t xml:space="preserve">TOTAL: </t>
  </si>
  <si>
    <t>Audi</t>
  </si>
  <si>
    <t>BMW</t>
  </si>
  <si>
    <t>Chevrolet</t>
  </si>
  <si>
    <t>Ford</t>
  </si>
  <si>
    <t>Honda</t>
  </si>
  <si>
    <t>Genesis</t>
  </si>
  <si>
    <t>Hyundai</t>
  </si>
  <si>
    <t>LR</t>
  </si>
  <si>
    <t>Lexus</t>
  </si>
  <si>
    <t>Lincoln</t>
  </si>
  <si>
    <t>Mazda</t>
  </si>
  <si>
    <t>Mercedes-Benz</t>
  </si>
  <si>
    <t>MINI</t>
  </si>
  <si>
    <t>Porsche</t>
  </si>
  <si>
    <t>Subaru</t>
  </si>
  <si>
    <t>Ultra</t>
  </si>
  <si>
    <t>Toyota</t>
  </si>
  <si>
    <t>Volkswagen</t>
  </si>
  <si>
    <t>WEST TOTAL:</t>
  </si>
  <si>
    <t>1/05/2026 @ 9:30am</t>
  </si>
  <si>
    <t>Jan 2026</t>
  </si>
  <si>
    <t>Feb 2026</t>
  </si>
  <si>
    <t>Mar 2026</t>
  </si>
  <si>
    <t>Apr 2026</t>
  </si>
  <si>
    <t>May 2026</t>
  </si>
  <si>
    <t>Market Rank</t>
  </si>
  <si>
    <t>Region Rank</t>
  </si>
  <si>
    <t>Brand Rank</t>
  </si>
  <si>
    <t>Total Store Opportunities</t>
  </si>
  <si>
    <t>New Lease</t>
  </si>
  <si>
    <t>Lease Retention %</t>
  </si>
  <si>
    <t>New Purchase</t>
  </si>
  <si>
    <t>Lease Extended</t>
  </si>
  <si>
    <t>Lease Buyouts</t>
  </si>
  <si>
    <t>Total Retention</t>
  </si>
  <si>
    <t>Retention %</t>
  </si>
  <si>
    <t>In Progress</t>
  </si>
  <si>
    <t>Non Responsive</t>
  </si>
  <si>
    <t>Pending %</t>
  </si>
  <si>
    <t>Lease Drop Off</t>
  </si>
  <si>
    <t>Lost Business</t>
  </si>
  <si>
    <t>PAG Referral</t>
  </si>
  <si>
    <t>Non-Retained %</t>
  </si>
  <si>
    <t>Acura North Scottsdale</t>
  </si>
  <si>
    <t>Tempe Honda</t>
  </si>
  <si>
    <t>Lexus of Chandler</t>
  </si>
  <si>
    <t>Toyota of Surprise</t>
  </si>
  <si>
    <t>BMW North Scottsdale</t>
  </si>
  <si>
    <t>Volkswagen North Scottsdale</t>
  </si>
  <si>
    <t>Mercedes-Benz of Chandler</t>
  </si>
  <si>
    <t>Mercedes-Benz of North Scottsdale</t>
  </si>
  <si>
    <t>Land Rover North Scottsdale</t>
  </si>
  <si>
    <t>Land Rover Chandler</t>
  </si>
  <si>
    <t>Bentley Scottsdale</t>
  </si>
  <si>
    <t>Audi North Scottsdale</t>
  </si>
  <si>
    <t>Audi Chandler</t>
  </si>
  <si>
    <t>MINI of Tempe</t>
  </si>
  <si>
    <t>MINI North Scottsdale</t>
  </si>
  <si>
    <t>Porsche North Scottsdale</t>
  </si>
  <si>
    <t>Penske Honda</t>
  </si>
  <si>
    <t>Penske Chevrolet</t>
  </si>
  <si>
    <t>Capitol Acura</t>
  </si>
  <si>
    <t>Capitol Honda</t>
  </si>
  <si>
    <t>Honda North</t>
  </si>
  <si>
    <t>Toyota of Clovis</t>
  </si>
  <si>
    <t>Peter Pan BMW</t>
  </si>
  <si>
    <t>Audi San Jose</t>
  </si>
  <si>
    <t>MINI of Marin</t>
  </si>
  <si>
    <t>Porsche Stevens Creek</t>
  </si>
  <si>
    <t>Volkswagen South Coast</t>
  </si>
  <si>
    <t>Crevier BMW</t>
  </si>
  <si>
    <t>BMW of Ontario</t>
  </si>
  <si>
    <t>Subaru Orange Coast</t>
  </si>
  <si>
    <t>Lincoln South Coast</t>
  </si>
  <si>
    <t>Audi South Coast</t>
  </si>
  <si>
    <t>Audi North OC</t>
  </si>
  <si>
    <t>Crevier MINI</t>
  </si>
  <si>
    <t>Acura of Escondido</t>
  </si>
  <si>
    <t>Honda of Escondido</t>
  </si>
  <si>
    <t>Lexus San Diego</t>
  </si>
  <si>
    <t>Kearny Mesa Toyota</t>
  </si>
  <si>
    <t>Mazda of Escondido</t>
  </si>
  <si>
    <t>BMW of Escondido</t>
  </si>
  <si>
    <t>BMW of San Diego</t>
  </si>
  <si>
    <t>Mercedes-Benz of San Diego</t>
  </si>
  <si>
    <t>Audi Escondido</t>
  </si>
  <si>
    <t>MINI of San Diego</t>
  </si>
  <si>
    <t>Round Rock Honda</t>
  </si>
  <si>
    <t>Honda Leander</t>
  </si>
  <si>
    <t>Lexus of Austin</t>
  </si>
  <si>
    <t>Lexus of Lakeway</t>
  </si>
  <si>
    <t>BMW of Austin</t>
  </si>
  <si>
    <t>Round Rock Toyota</t>
  </si>
  <si>
    <t>Round Rock Hyundai</t>
  </si>
  <si>
    <t>MINI of Austin</t>
  </si>
  <si>
    <t>East Madison Toyota</t>
  </si>
  <si>
    <t>Motorwerks BMW</t>
  </si>
  <si>
    <t>Motorwerks MINI</t>
  </si>
  <si>
    <t>BMW of Bloomfield Hills</t>
  </si>
  <si>
    <t/>
  </si>
  <si>
    <t>Total</t>
  </si>
  <si>
    <t>Arizona</t>
  </si>
  <si>
    <t>RGN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</si>
  <si>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</si>
  <si>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</si>
  <si>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</si>
  <si>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</si>
  <si>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</si>
  <si>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</si>
  <si>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</si>
  <si>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>Genesis of Round Rock</t>
  </si>
  <si>
    <t>Scottsdale Ferrari Maserati</t>
  </si>
  <si>
    <t>Lamborghini North Scottsdale</t>
  </si>
  <si>
    <t>Store</t>
  </si>
  <si>
    <t>Brand</t>
  </si>
  <si>
    <t>Market</t>
  </si>
  <si>
    <t>Alpha</t>
  </si>
  <si>
    <t>Disp</t>
  </si>
  <si>
    <t>M/B</t>
  </si>
  <si>
    <t>Lvl</t>
  </si>
  <si>
    <t>Count</t>
  </si>
  <si>
    <t>PAG WEST</t>
  </si>
  <si>
    <t>-PAG WEST</t>
  </si>
  <si>
    <t>AZ</t>
  </si>
  <si>
    <t>-PAG WEST EXPANSION</t>
  </si>
  <si>
    <t>PAG WEST EXPANSION</t>
  </si>
  <si>
    <t>SoCal</t>
  </si>
  <si>
    <t>-Arizona</t>
  </si>
  <si>
    <t>-Indiana</t>
  </si>
  <si>
    <t>-Michigan</t>
  </si>
  <si>
    <t>-Northern California</t>
  </si>
  <si>
    <t>OC</t>
  </si>
  <si>
    <t>-Orange County</t>
  </si>
  <si>
    <t>NorCal</t>
  </si>
  <si>
    <t>-Southern California</t>
  </si>
  <si>
    <t>-Texas</t>
  </si>
  <si>
    <t>Bill Brown Ford</t>
  </si>
  <si>
    <t>-Wisconsin</t>
  </si>
  <si>
    <t>TX</t>
  </si>
  <si>
    <t>MINI of Ontario</t>
  </si>
  <si>
    <t>Toyota of Pharr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</si>
</sst>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"/>
    <numFmt numFmtId="165" formatCode="mmmm\ \'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1"/>
      <color rgb="FFFFFFFF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3"/>
      <color rgb="FF333333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1"/>
    </font>
    <font>
      <b/>
      <i/>
      <u/>
      <sz val="10"/>
      <color theme="1"/>
      <name val="Arial"/>
      <family val="1"/>
    </font>
    <font>
      <b/>
      <sz val="12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A7A7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rgb="FF3D84C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7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56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2" fillId="3" borderId="0" xfId="0" applyFont="1" applyFill="1"/>
    <xf numFmtId="9" fontId="3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5" xfId="0" applyFont="1" applyFill="1" applyBorder="1" applyAlignment="1">
      <alignment horizontal="center" vertical="center"/>
    </xf>
    <xf numFmtId="0" fontId="14" fillId="0" borderId="0" xfId="0" applyFont="1"/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9" fontId="17" fillId="0" borderId="2" xfId="1" applyFont="1" applyFill="1" applyBorder="1" applyAlignment="1">
      <alignment horizontal="center"/>
    </xf>
    <xf numFmtId="9" fontId="6" fillId="6" borderId="2" xfId="1" applyFont="1" applyFill="1" applyBorder="1" applyAlignment="1">
      <alignment horizontal="center"/>
    </xf>
    <xf numFmtId="1" fontId="6" fillId="6" borderId="0" xfId="1" applyNumberFormat="1" applyFont="1" applyFill="1" applyAlignment="1">
      <alignment horizontal="center"/>
    </xf>
    <xf numFmtId="0" fontId="17" fillId="17" borderId="0" xfId="0" applyFont="1" applyFill="1"/>
    <xf numFmtId="0" fontId="21" fillId="0" borderId="0" xfId="0" applyFont="1"/>
    <xf numFmtId="0" fontId="2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9" fontId="6" fillId="0" borderId="2" xfId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9" fontId="8" fillId="4" borderId="2" xfId="1" applyFont="1" applyFill="1" applyBorder="1" applyAlignment="1">
      <alignment horizontal="center"/>
    </xf>
    <xf numFmtId="9" fontId="6" fillId="4" borderId="0" xfId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0" fontId="24" fillId="5" borderId="3" xfId="0" applyFont="1" applyFill="1" applyBorder="1" applyAlignment="1">
      <alignment horizontal="right" vertical="center"/>
    </xf>
    <xf numFmtId="1" fontId="24" fillId="5" borderId="3" xfId="0" applyNumberFormat="1" applyFont="1" applyFill="1" applyBorder="1" applyAlignment="1">
      <alignment horizontal="center" vertical="center"/>
    </xf>
    <xf numFmtId="9" fontId="25" fillId="0" borderId="4" xfId="1" applyFont="1" applyFill="1" applyBorder="1" applyAlignment="1">
      <alignment horizontal="center" vertical="center"/>
    </xf>
    <xf numFmtId="9" fontId="25" fillId="4" borderId="4" xfId="1" applyFont="1" applyFill="1" applyBorder="1" applyAlignment="1">
      <alignment horizontal="center" vertical="center"/>
    </xf>
    <xf numFmtId="0" fontId="18" fillId="0" borderId="0" xfId="0" applyFont="1"/>
    <xf numFmtId="9" fontId="24" fillId="4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6" fillId="0" borderId="0" xfId="0" applyFont="1"/>
    <xf numFmtId="0" fontId="27" fillId="6" borderId="0" xfId="0" applyFont="1" applyFill="1"/>
    <xf numFmtId="0" fontId="26" fillId="6" borderId="0" xfId="0" applyFont="1" applyFill="1"/>
    <xf numFmtId="164" fontId="28" fillId="6" borderId="0" xfId="0" applyNumberFormat="1" applyFont="1" applyFill="1" applyAlignment="1">
      <alignment vertical="top" wrapText="1"/>
    </xf>
    <xf numFmtId="164" fontId="28" fillId="6" borderId="0" xfId="0" applyNumberFormat="1" applyFont="1" applyFill="1" applyAlignment="1">
      <alignment horizontal="left" vertical="top" wrapText="1"/>
    </xf>
    <xf numFmtId="0" fontId="27" fillId="6" borderId="0" xfId="0" quotePrefix="1" applyFont="1" applyFill="1" applyAlignment="1">
      <alignment horizontal="left"/>
    </xf>
    <xf numFmtId="0" fontId="26" fillId="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27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6" fillId="6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" fontId="27" fillId="6" borderId="0" xfId="0" applyNumberFormat="1" applyFont="1" applyFill="1"/>
    <xf numFmtId="1" fontId="27" fillId="6" borderId="0" xfId="0" applyNumberFormat="1" applyFont="1" applyFill="1" applyAlignment="1">
      <alignment horizontal="left"/>
    </xf>
    <xf numFmtId="1" fontId="26" fillId="6" borderId="0" xfId="0" applyNumberFormat="1" applyFont="1" applyFill="1"/>
    <xf numFmtId="1" fontId="26" fillId="0" borderId="0" xfId="0" applyNumberFormat="1" applyFont="1"/>
    <xf numFmtId="0" fontId="29" fillId="0" borderId="0" xfId="0" applyFont="1"/>
    <xf numFmtId="9" fontId="29" fillId="0" borderId="0" xfId="1" applyFont="1"/>
    <xf numFmtId="0" fontId="15" fillId="3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indent="1"/>
    </xf>
    <xf numFmtId="0" fontId="17" fillId="17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30" fillId="4" borderId="0" xfId="0" applyFont="1" applyFill="1" applyAlignment="1">
      <alignment horizontal="left" vertical="center" indent="1"/>
    </xf>
    <xf numFmtId="0" fontId="30" fillId="4" borderId="0" xfId="0" applyFont="1" applyFill="1" applyAlignment="1">
      <alignment horizontal="center" vertical="center"/>
    </xf>
    <xf numFmtId="9" fontId="21" fillId="4" borderId="2" xfId="1" applyFont="1" applyFill="1" applyBorder="1" applyAlignment="1">
      <alignment horizontal="center" vertical="center"/>
    </xf>
    <xf numFmtId="9" fontId="30" fillId="4" borderId="0" xfId="1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indent="1"/>
    </xf>
    <xf numFmtId="0" fontId="17" fillId="6" borderId="0" xfId="0" applyFont="1" applyFill="1" applyAlignment="1">
      <alignment horizontal="center"/>
    </xf>
    <xf numFmtId="0" fontId="17" fillId="6" borderId="1" xfId="0" applyFont="1" applyFill="1" applyBorder="1" applyAlignment="1">
      <alignment horizontal="center"/>
    </xf>
    <xf numFmtId="9" fontId="17" fillId="6" borderId="2" xfId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25" fillId="6" borderId="0" xfId="0" applyFont="1" applyFill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9" fontId="25" fillId="15" borderId="2" xfId="1" applyFont="1" applyFill="1" applyBorder="1" applyAlignment="1">
      <alignment horizontal="center" vertical="center"/>
    </xf>
    <xf numFmtId="9" fontId="25" fillId="6" borderId="2" xfId="1" applyFont="1" applyFill="1" applyBorder="1" applyAlignment="1">
      <alignment horizontal="center" vertical="center"/>
    </xf>
    <xf numFmtId="1" fontId="25" fillId="6" borderId="0" xfId="1" applyNumberFormat="1" applyFont="1" applyFill="1" applyAlignment="1">
      <alignment horizontal="center" vertical="center"/>
    </xf>
    <xf numFmtId="0" fontId="25" fillId="6" borderId="0" xfId="0" applyFont="1" applyFill="1" applyAlignment="1">
      <alignment horizontal="left" vertical="center" indent="1"/>
    </xf>
    <xf numFmtId="0" fontId="3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4" applyProtection="1"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1" applyFont="1" applyAlignment="1" applyProtection="1">
      <alignment horizontal="center"/>
      <protection locked="0"/>
    </xf>
    <xf numFmtId="0" fontId="0" fillId="13" borderId="0" xfId="0" applyFill="1" applyProtection="1">
      <protection locked="0"/>
    </xf>
    <xf numFmtId="0" fontId="0" fillId="14" borderId="0" xfId="0" quotePrefix="1" applyFill="1" applyAlignment="1" applyProtection="1">
      <alignment horizontal="center"/>
      <protection locked="0"/>
    </xf>
    <xf numFmtId="0" fontId="10" fillId="15" borderId="6" xfId="0" applyFont="1" applyFill="1" applyBorder="1" applyAlignment="1" applyProtection="1">
      <alignment horizontal="center" vertical="center"/>
      <protection locked="0"/>
    </xf>
    <xf numFmtId="0" fontId="10" fillId="15" borderId="7" xfId="0" applyFont="1" applyFill="1" applyBorder="1" applyAlignment="1" applyProtection="1">
      <alignment horizontal="center" vertical="center"/>
      <protection locked="0"/>
    </xf>
    <xf numFmtId="0" fontId="11" fillId="16" borderId="8" xfId="0" applyFont="1" applyFill="1" applyBorder="1" applyAlignment="1">
      <alignment horizontal="left" vertical="center"/>
    </xf>
    <xf numFmtId="0" fontId="11" fillId="16" borderId="0" xfId="0" applyFont="1" applyFill="1" applyAlignment="1">
      <alignment horizontal="left" vertical="center"/>
    </xf>
    <xf numFmtId="49" fontId="19" fillId="7" borderId="0" xfId="0" applyNumberFormat="1" applyFont="1" applyFill="1" applyAlignment="1">
      <alignment horizontal="center" vertical="center" wrapText="1"/>
    </xf>
    <xf numFmtId="49" fontId="19" fillId="7" borderId="0" xfId="0" applyNumberFormat="1" applyFont="1" applyFill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 wrapText="1"/>
    </xf>
    <xf numFmtId="49" fontId="19" fillId="8" borderId="0" xfId="0" applyNumberFormat="1" applyFont="1" applyFill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left" vertical="center"/>
    </xf>
    <xf numFmtId="165" fontId="22" fillId="2" borderId="0" xfId="0" applyNumberFormat="1" applyFont="1" applyFill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9" fontId="14" fillId="6" borderId="1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12" borderId="0" xfId="0" applyFont="1" applyFill="1" applyAlignment="1">
      <alignment horizontal="left" vertical="center"/>
    </xf>
    <xf numFmtId="49" fontId="19" fillId="8" borderId="2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/>
    </xf>
  </cellXfs>
  <cellStyles count="5">
    <cellStyle name="Normal" xfId="0" builtinId="0"/>
    <cellStyle name="Normal 4" xfId="3" xr:uid="{DDDBA28F-D5A7-4CCD-A8C2-52FC872D984F}"/>
    <cellStyle name="Normal 7" xfId="2" xr:uid="{C632BBBB-B0E2-4778-AE3F-C12158A5DEB1}"/>
    <cellStyle name="Normal 9" xfId="4" xr:uid="{26301356-60C6-4EC2-B714-C1C5CDD33F1E}"/>
    <cellStyle name="Percent" xfId="1" builtinId="5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3336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4EAAFF"/>
      <color rgb="FFFF6568"/>
      <color rgb="FF3D84C6"/>
      <color rgb="FFFF3336"/>
      <color rgb="FFFFFFCC"/>
      <color rgb="FFFFFFB1"/>
      <color rgb="FFFFFF7F"/>
      <color rgb="FFFF191D"/>
      <color rgb="FFFF7F82"/>
      <color rgb="FF71A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933E-0A08-6840-B8BC-8130235B82EE}">
  <sheetPr>
    <pageSetUpPr fitToPage="1"/>
  </sheetPr>
  <dimension ref="B1:AC100"/>
  <sheetViews>
    <sheetView showGridLines="0" tabSelected="1" workbookViewId="0">
      <selection activeCell="A26" sqref="A26:XFD26"/>
    </sheetView>
  </sheetViews>
  <sheetFormatPr defaultColWidth="8.81640625" defaultRowHeight="14" x14ac:dyDescent="0.3"/>
  <cols>
    <col min="1" max="1" width="1.81640625" style="4" customWidth="1"/>
    <col min="2" max="3" width="8.81640625" style="4" hidden="1" customWidth="1"/>
    <col min="4" max="4" width="19.453125" style="4" hidden="1" customWidth="1"/>
    <col min="5" max="5" width="36.81640625" style="4" customWidth="1"/>
    <col min="6" max="10" width="13.453125" style="4" customWidth="1"/>
    <col min="11" max="13" width="12.81640625" style="4" hidden="1" customWidth="1"/>
    <col min="14" max="17" width="12.81640625" style="4" customWidth="1"/>
    <col min="18" max="28" width="8.81640625" style="4"/>
    <col min="29" max="29" width="20.81640625" style="4" hidden="1" customWidth="1"/>
    <col min="30" max="30" width="8.81640625" style="4"/>
    <col min="31" max="31" width="8.81640625" style="4" customWidth="1"/>
    <col min="32" max="16384" width="8.81640625" style="4"/>
  </cols>
  <sheetData>
    <row r="1" spans="2:29" ht="14.15" customHeight="1" x14ac:dyDescent="0.3">
      <c r="B1" s="6"/>
    </row>
    <row r="2" spans="2:29" ht="25" x14ac:dyDescent="0.5">
      <c r="E2" s="5" t="s">
        <v>0</v>
      </c>
    </row>
    <row r="3" spans="2:29" ht="14.15" customHeight="1" thickBot="1" x14ac:dyDescent="0.35">
      <c r="B3" s="6"/>
    </row>
    <row r="4" spans="2:29" ht="28" customHeight="1" thickBot="1" x14ac:dyDescent="0.35">
      <c r="E4" s="7" t="s">
        <v>1</v>
      </c>
      <c r="F4" s="85" t="s">
        <v>2</v>
      </c>
      <c r="G4" s="85"/>
      <c r="H4" s="86"/>
      <c r="I4" s="87" t="s">
        <v>3</v>
      </c>
      <c r="J4" s="88"/>
      <c r="K4" s="88"/>
      <c r="L4" s="88"/>
      <c r="M4" s="88"/>
      <c r="N4" s="88"/>
      <c r="O4" s="88"/>
      <c r="P4" s="88"/>
      <c r="Q4" s="88"/>
    </row>
    <row r="5" spans="2:29" ht="18" customHeight="1" x14ac:dyDescent="0.3"/>
    <row r="6" spans="2:29" s="8" customFormat="1" ht="80.150000000000006" customHeight="1" x14ac:dyDescent="0.35">
      <c r="B6" s="4"/>
      <c r="C6" s="4"/>
      <c r="D6" s="4"/>
      <c r="E6" s="97" t="str">
        <f>"(Data pulled "&amp;WORKSHEET!V1&amp;")"</f>
        <v>(Data pulled 1/05/2026 @ 9:30am)</v>
      </c>
      <c r="F6" s="97"/>
      <c r="G6" s="89" t="s">
        <v>4</v>
      </c>
      <c r="H6" s="90"/>
      <c r="I6" s="91" t="s">
        <v>5</v>
      </c>
      <c r="J6" s="92"/>
      <c r="K6" s="93" t="s">
        <v>6</v>
      </c>
      <c r="L6" s="94"/>
      <c r="M6" s="94"/>
      <c r="N6" s="94"/>
      <c r="O6" s="94"/>
      <c r="P6" s="95" t="s">
        <v>7</v>
      </c>
      <c r="Q6" s="96"/>
      <c r="AC6" s="4" t="str">
        <f>WORKSHEET!AB1</f>
        <v>May 2026</v>
      </c>
    </row>
    <row r="7" spans="2:29" s="8" customFormat="1" ht="32.15" customHeight="1" x14ac:dyDescent="0.35">
      <c r="B7" s="4" t="str">
        <f>F4</f>
        <v>Dec 2025</v>
      </c>
      <c r="C7" s="4"/>
      <c r="D7" s="4"/>
      <c r="E7" s="59" t="s">
        <v>8</v>
      </c>
      <c r="F7" s="10" t="s">
        <v>9</v>
      </c>
      <c r="G7" s="11" t="s">
        <v>10</v>
      </c>
      <c r="H7" s="12" t="s">
        <v>11</v>
      </c>
      <c r="I7" s="13" t="s">
        <v>12</v>
      </c>
      <c r="J7" s="12" t="s">
        <v>11</v>
      </c>
      <c r="K7" s="11" t="s">
        <v>13</v>
      </c>
      <c r="L7" s="13" t="s">
        <v>14</v>
      </c>
      <c r="M7" s="13" t="s">
        <v>15</v>
      </c>
      <c r="N7" s="13" t="s">
        <v>16</v>
      </c>
      <c r="O7" s="14" t="s">
        <v>11</v>
      </c>
      <c r="P7" s="10" t="s">
        <v>17</v>
      </c>
      <c r="Q7" s="15" t="s">
        <v>11</v>
      </c>
      <c r="AC7" s="4" t="str">
        <f>WORKSHEET!AA1</f>
        <v>Apr 2026</v>
      </c>
    </row>
    <row r="8" spans="2:29" s="8" customFormat="1" ht="20.149999999999999" customHeight="1" x14ac:dyDescent="0.35">
      <c r="B8" s="4" t="str">
        <f t="shared" ref="B8:B17" si="0">B7</f>
        <v>Dec 2025</v>
      </c>
      <c r="C8" s="4" t="s">
        <v>18</v>
      </c>
      <c r="D8" s="4" t="str">
        <f>B8&amp;"-"&amp;C8</f>
        <v>Dec 2025-RGN-1</v>
      </c>
      <c r="E8" s="77" t="str">
        <f ca="1">VLOOKUP(D8,WORKSHEET!$J$4:$AM$502,13,FALSE)</f>
        <v>Texas</v>
      </c>
      <c r="F8" s="72">
        <f ca="1">VLOOKUP(D8,WORKSHEET!$J$4:$AM$502,14,FALSE)</f>
        <v>114</v>
      </c>
      <c r="G8" s="73">
        <f ca="1">VLOOKUP(D8,WORKSHEET!$J$4:$AM$502,15,FALSE)</f>
        <v>51</v>
      </c>
      <c r="H8" s="74">
        <f t="shared" ref="H8:H17" ca="1" si="1">IFERROR(G8/F8,0)</f>
        <v>0.44736842105263158</v>
      </c>
      <c r="I8" s="72">
        <f ca="1">VLOOKUP(D8,WORKSHEET!$J$4:$AM$502,21,FALSE)</f>
        <v>87</v>
      </c>
      <c r="J8" s="74">
        <f t="shared" ref="J8:J17" ca="1" si="2">IFERROR(I8/F8,0)</f>
        <v>0.76315789473684215</v>
      </c>
      <c r="K8" s="73">
        <f ca="1">VLOOKUP(D8,WORKSHEET!$J$4:$AM$502,23,FALSE)</f>
        <v>0</v>
      </c>
      <c r="L8" s="72">
        <f ca="1">VLOOKUP(D8,WORKSHEET!$J$4:$AM$502,24,FALSE)</f>
        <v>2</v>
      </c>
      <c r="M8" s="72">
        <f ca="1">VLOOKUP(D8,WORKSHEET!$J$4:$AM$502,25,FALSE)</f>
        <v>0</v>
      </c>
      <c r="N8" s="72">
        <f ca="1">SUM(K8:M8)</f>
        <v>2</v>
      </c>
      <c r="O8" s="75">
        <f t="shared" ref="O8:O17" ca="1" si="3">IFERROR(SUM(K8:M8)/F8,0)</f>
        <v>1.7543859649122806E-2</v>
      </c>
      <c r="P8" s="76">
        <f ca="1">VLOOKUP(D8,WORKSHEET!$J$4:$AM$502,27,FALSE)+VLOOKUP(D8,WORKSHEET!$J$4:$AM$502,28,FALSE)+VLOOKUP(D8,WORKSHEET!$J$4:$AM$502,29,FALSE)</f>
        <v>25</v>
      </c>
      <c r="Q8" s="75">
        <f t="shared" ref="Q8:Q17" ca="1" si="4">IFERROR(P8/F8,0)</f>
        <v>0.21929824561403508</v>
      </c>
      <c r="AC8" s="4" t="str">
        <f>WORKSHEET!Z1</f>
        <v>Mar 2026</v>
      </c>
    </row>
    <row r="9" spans="2:29" s="8" customFormat="1" ht="20.149999999999999" customHeight="1" x14ac:dyDescent="0.35">
      <c r="B9" s="4" t="str">
        <f t="shared" si="0"/>
        <v>Dec 2025</v>
      </c>
      <c r="C9" s="4" t="s">
        <v>19</v>
      </c>
      <c r="D9" s="4" t="str">
        <f t="shared" ref="D9:D12" si="5">B9&amp;"-"&amp;C9</f>
        <v>Dec 2025-RGN-2</v>
      </c>
      <c r="E9" s="77" t="str">
        <f ca="1">VLOOKUP(D9,WORKSHEET!$J$4:$AM$502,13,FALSE)</f>
        <v>Indiana</v>
      </c>
      <c r="F9" s="72">
        <f ca="1">VLOOKUP(D9,WORKSHEET!$J$4:$AM$502,14,FALSE)</f>
        <v>81</v>
      </c>
      <c r="G9" s="73">
        <f ca="1">VLOOKUP(D9,WORKSHEET!$J$4:$AM$502,15,FALSE)</f>
        <v>34</v>
      </c>
      <c r="H9" s="74">
        <f t="shared" ref="H9:H15" ca="1" si="6">IFERROR(G9/F9,0)</f>
        <v>0.41975308641975306</v>
      </c>
      <c r="I9" s="72">
        <f ca="1">VLOOKUP(D9,WORKSHEET!$J$4:$AM$502,21,FALSE)</f>
        <v>50</v>
      </c>
      <c r="J9" s="74">
        <f t="shared" ref="J9:J15" ca="1" si="7">IFERROR(I9/F9,0)</f>
        <v>0.61728395061728392</v>
      </c>
      <c r="K9" s="73">
        <f ca="1">VLOOKUP(D9,WORKSHEET!$J$4:$AM$502,23,FALSE)</f>
        <v>3</v>
      </c>
      <c r="L9" s="72">
        <f ca="1">VLOOKUP(D9,WORKSHEET!$J$4:$AM$502,24,FALSE)</f>
        <v>2</v>
      </c>
      <c r="M9" s="72">
        <f ca="1">VLOOKUP(D9,WORKSHEET!$J$4:$AM$502,25,FALSE)</f>
        <v>0</v>
      </c>
      <c r="N9" s="72">
        <f t="shared" ref="N9:N15" ca="1" si="8">SUM(K9:M9)</f>
        <v>5</v>
      </c>
      <c r="O9" s="75">
        <f t="shared" ref="O9:O15" ca="1" si="9">IFERROR(SUM(K9:M9)/F9,0)</f>
        <v>6.1728395061728392E-2</v>
      </c>
      <c r="P9" s="76">
        <f ca="1">VLOOKUP(D9,WORKSHEET!$J$4:$AM$502,27,FALSE)+VLOOKUP(D9,WORKSHEET!$J$4:$AM$502,28,FALSE)+VLOOKUP(D9,WORKSHEET!$J$4:$AM$502,29,FALSE)</f>
        <v>26</v>
      </c>
      <c r="Q9" s="75">
        <f t="shared" ref="Q9:Q15" ca="1" si="10">IFERROR(P9/F9,0)</f>
        <v>0.32098765432098764</v>
      </c>
      <c r="AC9" s="4"/>
    </row>
    <row r="10" spans="2:29" s="8" customFormat="1" ht="20.149999999999999" customHeight="1" x14ac:dyDescent="0.35">
      <c r="B10" s="4" t="str">
        <f t="shared" si="0"/>
        <v>Dec 2025</v>
      </c>
      <c r="C10" s="4" t="s">
        <v>20</v>
      </c>
      <c r="D10" s="4" t="str">
        <f t="shared" si="5"/>
        <v>Dec 2025-RGN-3</v>
      </c>
      <c r="E10" s="77" t="str">
        <f ca="1">VLOOKUP(D10,WORKSHEET!$J$4:$AM$502,13,FALSE)</f>
        <v>Orange County</v>
      </c>
      <c r="F10" s="72">
        <f ca="1">VLOOKUP(D10,WORKSHEET!$J$4:$AM$502,14,FALSE)</f>
        <v>332</v>
      </c>
      <c r="G10" s="73">
        <f ca="1">VLOOKUP(D10,WORKSHEET!$J$4:$AM$502,15,FALSE)</f>
        <v>118</v>
      </c>
      <c r="H10" s="74">
        <f t="shared" ca="1" si="6"/>
        <v>0.35542168674698793</v>
      </c>
      <c r="I10" s="72">
        <f ca="1">VLOOKUP(D10,WORKSHEET!$J$4:$AM$502,21,FALSE)</f>
        <v>204</v>
      </c>
      <c r="J10" s="74">
        <f t="shared" ca="1" si="7"/>
        <v>0.61445783132530118</v>
      </c>
      <c r="K10" s="73">
        <f ca="1">VLOOKUP(D10,WORKSHEET!$J$4:$AM$502,23,FALSE)</f>
        <v>0</v>
      </c>
      <c r="L10" s="72">
        <f ca="1">VLOOKUP(D10,WORKSHEET!$J$4:$AM$502,24,FALSE)</f>
        <v>10</v>
      </c>
      <c r="M10" s="72">
        <f ca="1">VLOOKUP(D10,WORKSHEET!$J$4:$AM$502,25,FALSE)</f>
        <v>7</v>
      </c>
      <c r="N10" s="72">
        <f t="shared" ca="1" si="8"/>
        <v>17</v>
      </c>
      <c r="O10" s="75">
        <f t="shared" ca="1" si="9"/>
        <v>5.1204819277108432E-2</v>
      </c>
      <c r="P10" s="76">
        <f ca="1">VLOOKUP(D10,WORKSHEET!$J$4:$AM$502,27,FALSE)+VLOOKUP(D10,WORKSHEET!$J$4:$AM$502,28,FALSE)+VLOOKUP(D10,WORKSHEET!$J$4:$AM$502,29,FALSE)</f>
        <v>111</v>
      </c>
      <c r="Q10" s="75">
        <f t="shared" ca="1" si="10"/>
        <v>0.33433734939759036</v>
      </c>
      <c r="AC10" s="4"/>
    </row>
    <row r="11" spans="2:29" s="8" customFormat="1" ht="20.149999999999999" customHeight="1" x14ac:dyDescent="0.35">
      <c r="B11" s="4" t="str">
        <f t="shared" si="0"/>
        <v>Dec 2025</v>
      </c>
      <c r="C11" s="4" t="s">
        <v>21</v>
      </c>
      <c r="D11" s="4" t="str">
        <f t="shared" si="5"/>
        <v>Dec 2025-RGN-4</v>
      </c>
      <c r="E11" s="77" t="str">
        <f ca="1">VLOOKUP(D11,WORKSHEET!$J$4:$AM$502,13,FALSE)</f>
        <v>Southern California</v>
      </c>
      <c r="F11" s="72">
        <f ca="1">VLOOKUP(D11,WORKSHEET!$J$4:$AM$502,14,FALSE)</f>
        <v>167</v>
      </c>
      <c r="G11" s="73">
        <f ca="1">VLOOKUP(D11,WORKSHEET!$J$4:$AM$502,15,FALSE)</f>
        <v>58</v>
      </c>
      <c r="H11" s="74">
        <f t="shared" ca="1" si="6"/>
        <v>0.3473053892215569</v>
      </c>
      <c r="I11" s="72">
        <f ca="1">VLOOKUP(D11,WORKSHEET!$J$4:$AM$502,21,FALSE)</f>
        <v>116</v>
      </c>
      <c r="J11" s="74">
        <f t="shared" ca="1" si="7"/>
        <v>0.69461077844311381</v>
      </c>
      <c r="K11" s="73">
        <f ca="1">VLOOKUP(D11,WORKSHEET!$J$4:$AM$502,23,FALSE)</f>
        <v>13</v>
      </c>
      <c r="L11" s="72">
        <f ca="1">VLOOKUP(D11,WORKSHEET!$J$4:$AM$502,24,FALSE)</f>
        <v>3</v>
      </c>
      <c r="M11" s="72">
        <f ca="1">VLOOKUP(D11,WORKSHEET!$J$4:$AM$502,25,FALSE)</f>
        <v>1</v>
      </c>
      <c r="N11" s="72">
        <f t="shared" ca="1" si="8"/>
        <v>17</v>
      </c>
      <c r="O11" s="75">
        <f t="shared" ca="1" si="9"/>
        <v>0.10179640718562874</v>
      </c>
      <c r="P11" s="76">
        <f ca="1">VLOOKUP(D11,WORKSHEET!$J$4:$AM$502,27,FALSE)+VLOOKUP(D11,WORKSHEET!$J$4:$AM$502,28,FALSE)+VLOOKUP(D11,WORKSHEET!$J$4:$AM$502,29,FALSE)</f>
        <v>34</v>
      </c>
      <c r="Q11" s="75">
        <f t="shared" ca="1" si="10"/>
        <v>0.20359281437125748</v>
      </c>
      <c r="AC11" s="4"/>
    </row>
    <row r="12" spans="2:29" s="8" customFormat="1" ht="20.149999999999999" customHeight="1" x14ac:dyDescent="0.35">
      <c r="B12" s="4" t="str">
        <f t="shared" si="0"/>
        <v>Dec 2025</v>
      </c>
      <c r="C12" s="4" t="s">
        <v>22</v>
      </c>
      <c r="D12" s="4" t="str">
        <f t="shared" si="5"/>
        <v>Dec 2025-RGN-5</v>
      </c>
      <c r="E12" s="77" t="str">
        <f ca="1">VLOOKUP(D12,WORKSHEET!$J$4:$AM$502,13,FALSE)</f>
        <v>Arizona</v>
      </c>
      <c r="F12" s="72">
        <f ca="1">VLOOKUP(D12,WORKSHEET!$J$4:$AM$502,14,FALSE)</f>
        <v>151</v>
      </c>
      <c r="G12" s="73">
        <f ca="1">VLOOKUP(D12,WORKSHEET!$J$4:$AM$502,15,FALSE)</f>
        <v>52</v>
      </c>
      <c r="H12" s="74">
        <f t="shared" ca="1" si="6"/>
        <v>0.3443708609271523</v>
      </c>
      <c r="I12" s="72">
        <f ca="1">VLOOKUP(D12,WORKSHEET!$J$4:$AM$502,21,FALSE)</f>
        <v>99</v>
      </c>
      <c r="J12" s="74">
        <f t="shared" ca="1" si="7"/>
        <v>0.6556291390728477</v>
      </c>
      <c r="K12" s="73">
        <f ca="1">VLOOKUP(D12,WORKSHEET!$J$4:$AM$502,23,FALSE)</f>
        <v>9</v>
      </c>
      <c r="L12" s="72">
        <f ca="1">VLOOKUP(D12,WORKSHEET!$J$4:$AM$502,24,FALSE)</f>
        <v>2</v>
      </c>
      <c r="M12" s="72">
        <f ca="1">VLOOKUP(D12,WORKSHEET!$J$4:$AM$502,25,FALSE)</f>
        <v>4</v>
      </c>
      <c r="N12" s="72">
        <f t="shared" ca="1" si="8"/>
        <v>15</v>
      </c>
      <c r="O12" s="75">
        <f t="shared" ca="1" si="9"/>
        <v>9.9337748344370855E-2</v>
      </c>
      <c r="P12" s="76">
        <f ca="1">VLOOKUP(D12,WORKSHEET!$J$4:$AM$502,27,FALSE)+VLOOKUP(D12,WORKSHEET!$J$4:$AM$502,28,FALSE)+VLOOKUP(D12,WORKSHEET!$J$4:$AM$502,29,FALSE)</f>
        <v>37</v>
      </c>
      <c r="Q12" s="75">
        <f t="shared" ca="1" si="10"/>
        <v>0.24503311258278146</v>
      </c>
      <c r="AC12" s="4"/>
    </row>
    <row r="13" spans="2:29" s="8" customFormat="1" ht="20.149999999999999" customHeight="1" x14ac:dyDescent="0.35">
      <c r="B13" s="4" t="str">
        <f t="shared" si="0"/>
        <v>Dec 2025</v>
      </c>
      <c r="C13" s="4" t="s">
        <v>23</v>
      </c>
      <c r="D13" s="4" t="str">
        <f>B9&amp;"-"&amp;C13</f>
        <v>Dec 2025-RGN-6</v>
      </c>
      <c r="E13" s="77" t="str">
        <f ca="1">VLOOKUP(D13,WORKSHEET!$J$4:$AM$502,13,FALSE)</f>
        <v>Michigan &amp; Minnesota</v>
      </c>
      <c r="F13" s="72">
        <f ca="1">VLOOKUP(D13,WORKSHEET!$J$4:$AM$502,14,FALSE)</f>
        <v>50</v>
      </c>
      <c r="G13" s="73">
        <f ca="1">VLOOKUP(D13,WORKSHEET!$J$4:$AM$502,15,FALSE)</f>
        <v>16</v>
      </c>
      <c r="H13" s="74">
        <f t="shared" ca="1" si="6"/>
        <v>0.32</v>
      </c>
      <c r="I13" s="72">
        <f ca="1">VLOOKUP(D13,WORKSHEET!$J$4:$AM$502,21,FALSE)</f>
        <v>21</v>
      </c>
      <c r="J13" s="74">
        <f t="shared" ca="1" si="7"/>
        <v>0.42</v>
      </c>
      <c r="K13" s="73">
        <f ca="1">VLOOKUP(D13,WORKSHEET!$J$4:$AM$502,23,FALSE)</f>
        <v>9</v>
      </c>
      <c r="L13" s="72">
        <f ca="1">VLOOKUP(D13,WORKSHEET!$J$4:$AM$502,24,FALSE)</f>
        <v>0</v>
      </c>
      <c r="M13" s="72">
        <f ca="1">VLOOKUP(D13,WORKSHEET!$J$4:$AM$502,25,FALSE)</f>
        <v>17</v>
      </c>
      <c r="N13" s="72">
        <f t="shared" ca="1" si="8"/>
        <v>26</v>
      </c>
      <c r="O13" s="75">
        <f t="shared" ca="1" si="9"/>
        <v>0.52</v>
      </c>
      <c r="P13" s="76">
        <f ca="1">VLOOKUP(D13,WORKSHEET!$J$4:$AM$502,27,FALSE)+VLOOKUP(D13,WORKSHEET!$J$4:$AM$502,28,FALSE)+VLOOKUP(D13,WORKSHEET!$J$4:$AM$502,29,FALSE)</f>
        <v>3</v>
      </c>
      <c r="Q13" s="75">
        <f t="shared" ca="1" si="10"/>
        <v>0.06</v>
      </c>
      <c r="AC13" s="4" t="str">
        <f>WORKSHEET!Y1</f>
        <v>Feb 2026</v>
      </c>
    </row>
    <row r="14" spans="2:29" s="8" customFormat="1" ht="20.149999999999999" customHeight="1" x14ac:dyDescent="0.35">
      <c r="B14" s="4" t="str">
        <f t="shared" si="0"/>
        <v>Dec 2025</v>
      </c>
      <c r="C14" s="4" t="s">
        <v>24</v>
      </c>
      <c r="D14" s="4" t="str">
        <f>B10&amp;"-"&amp;C14</f>
        <v>Dec 2025-RGN-7</v>
      </c>
      <c r="E14" s="77" t="str">
        <f ca="1">VLOOKUP(D14,WORKSHEET!$J$4:$AM$502,13,FALSE)</f>
        <v>Northern California</v>
      </c>
      <c r="F14" s="72">
        <f ca="1">VLOOKUP(D14,WORKSHEET!$J$4:$AM$502,14,FALSE)</f>
        <v>207</v>
      </c>
      <c r="G14" s="73">
        <f ca="1">VLOOKUP(D14,WORKSHEET!$J$4:$AM$502,15,FALSE)</f>
        <v>63</v>
      </c>
      <c r="H14" s="74">
        <f t="shared" ca="1" si="6"/>
        <v>0.30434782608695654</v>
      </c>
      <c r="I14" s="72">
        <f ca="1">VLOOKUP(D14,WORKSHEET!$J$4:$AM$502,21,FALSE)</f>
        <v>139</v>
      </c>
      <c r="J14" s="74">
        <f t="shared" ca="1" si="7"/>
        <v>0.67149758454106279</v>
      </c>
      <c r="K14" s="73">
        <f ca="1">VLOOKUP(D14,WORKSHEET!$J$4:$AM$502,23,FALSE)</f>
        <v>5</v>
      </c>
      <c r="L14" s="72">
        <f ca="1">VLOOKUP(D14,WORKSHEET!$J$4:$AM$502,24,FALSE)</f>
        <v>0</v>
      </c>
      <c r="M14" s="72">
        <f ca="1">VLOOKUP(D14,WORKSHEET!$J$4:$AM$502,25,FALSE)</f>
        <v>0</v>
      </c>
      <c r="N14" s="72">
        <f t="shared" ca="1" si="8"/>
        <v>5</v>
      </c>
      <c r="O14" s="75">
        <f t="shared" ca="1" si="9"/>
        <v>2.4154589371980676E-2</v>
      </c>
      <c r="P14" s="76">
        <f ca="1">VLOOKUP(D14,WORKSHEET!$J$4:$AM$502,27,FALSE)+VLOOKUP(D14,WORKSHEET!$J$4:$AM$502,28,FALSE)+VLOOKUP(D14,WORKSHEET!$J$4:$AM$502,29,FALSE)</f>
        <v>63</v>
      </c>
      <c r="Q14" s="75">
        <f t="shared" ca="1" si="10"/>
        <v>0.30434782608695654</v>
      </c>
      <c r="AC14" s="4" t="str">
        <f>WORKSHEET!X1</f>
        <v>Jan 2026</v>
      </c>
    </row>
    <row r="15" spans="2:29" s="8" customFormat="1" ht="20.149999999999999" customHeight="1" x14ac:dyDescent="0.35">
      <c r="B15" s="4" t="str">
        <f t="shared" si="0"/>
        <v>Dec 2025</v>
      </c>
      <c r="C15" s="4" t="s">
        <v>25</v>
      </c>
      <c r="D15" s="4" t="str">
        <f>B11&amp;"-"&amp;C15</f>
        <v>Dec 2025-RGN-8</v>
      </c>
      <c r="E15" s="77" t="str">
        <f ca="1">VLOOKUP(D15,WORKSHEET!$J$4:$AM$502,13,FALSE)</f>
        <v>Wisconsin</v>
      </c>
      <c r="F15" s="72">
        <f ca="1">VLOOKUP(D15,WORKSHEET!$J$4:$AM$502,14,FALSE)</f>
        <v>7</v>
      </c>
      <c r="G15" s="73">
        <f ca="1">VLOOKUP(D15,WORKSHEET!$J$4:$AM$502,15,FALSE)</f>
        <v>1</v>
      </c>
      <c r="H15" s="74">
        <f t="shared" ca="1" si="6"/>
        <v>0.14285714285714285</v>
      </c>
      <c r="I15" s="72">
        <f ca="1">VLOOKUP(D15,WORKSHEET!$J$4:$AM$502,21,FALSE)</f>
        <v>2</v>
      </c>
      <c r="J15" s="74">
        <f t="shared" ca="1" si="7"/>
        <v>0.2857142857142857</v>
      </c>
      <c r="K15" s="73">
        <f ca="1">VLOOKUP(D15,WORKSHEET!$J$4:$AM$502,23,FALSE)</f>
        <v>2</v>
      </c>
      <c r="L15" s="72">
        <f ca="1">VLOOKUP(D15,WORKSHEET!$J$4:$AM$502,24,FALSE)</f>
        <v>0</v>
      </c>
      <c r="M15" s="72">
        <f ca="1">VLOOKUP(D15,WORKSHEET!$J$4:$AM$502,25,FALSE)</f>
        <v>0</v>
      </c>
      <c r="N15" s="72">
        <f t="shared" ca="1" si="8"/>
        <v>2</v>
      </c>
      <c r="O15" s="75">
        <f t="shared" ca="1" si="9"/>
        <v>0.2857142857142857</v>
      </c>
      <c r="P15" s="76">
        <f ca="1">VLOOKUP(D15,WORKSHEET!$J$4:$AM$502,27,FALSE)+VLOOKUP(D15,WORKSHEET!$J$4:$AM$502,28,FALSE)+VLOOKUP(D15,WORKSHEET!$J$4:$AM$502,29,FALSE)</f>
        <v>3</v>
      </c>
      <c r="Q15" s="75">
        <f t="shared" ca="1" si="10"/>
        <v>0.42857142857142855</v>
      </c>
      <c r="AC15" s="4" t="str">
        <f>WORKSHEET!W1</f>
        <v>Dec 2025</v>
      </c>
    </row>
    <row r="16" spans="2:29" s="8" customFormat="1" ht="20.149999999999999" hidden="1" customHeight="1" x14ac:dyDescent="0.35">
      <c r="B16" s="4" t="str">
        <f t="shared" si="0"/>
        <v>Dec 2025</v>
      </c>
      <c r="C16" s="4" t="s">
        <v>26</v>
      </c>
      <c r="D16" s="4" t="str">
        <f>B12&amp;"-"&amp;C16</f>
        <v>Dec 2025-RGN-9</v>
      </c>
      <c r="E16" s="77"/>
      <c r="F16" s="72"/>
      <c r="G16" s="73"/>
      <c r="H16" s="74"/>
      <c r="I16" s="72"/>
      <c r="J16" s="74"/>
      <c r="K16" s="73"/>
      <c r="L16" s="72"/>
      <c r="M16" s="72"/>
      <c r="N16" s="72"/>
      <c r="O16" s="75"/>
      <c r="P16" s="76"/>
      <c r="Q16" s="75"/>
    </row>
    <row r="17" spans="2:17" s="8" customFormat="1" ht="20.149999999999999" customHeight="1" x14ac:dyDescent="0.35">
      <c r="B17" s="4" t="str">
        <f t="shared" si="0"/>
        <v>Dec 2025</v>
      </c>
      <c r="C17" s="4"/>
      <c r="D17" s="4"/>
      <c r="E17" s="63" t="s">
        <v>27</v>
      </c>
      <c r="F17" s="64">
        <f ca="1">SUM(F8:F16)</f>
        <v>1109</v>
      </c>
      <c r="G17" s="64">
        <f ca="1">SUM(G8:G16)</f>
        <v>393</v>
      </c>
      <c r="H17" s="65">
        <f t="shared" ca="1" si="1"/>
        <v>0.35437330928764654</v>
      </c>
      <c r="I17" s="64">
        <f ca="1">SUM(I8:I16)</f>
        <v>718</v>
      </c>
      <c r="J17" s="65">
        <f t="shared" ca="1" si="2"/>
        <v>0.64743011722272314</v>
      </c>
      <c r="K17" s="64">
        <f ca="1">SUM(K8:K16)</f>
        <v>41</v>
      </c>
      <c r="L17" s="64">
        <f ca="1">SUM(L8:L16)</f>
        <v>19</v>
      </c>
      <c r="M17" s="64">
        <f ca="1">SUM(M8:M16)</f>
        <v>29</v>
      </c>
      <c r="N17" s="64">
        <f ca="1">SUM(N8:N16)</f>
        <v>89</v>
      </c>
      <c r="O17" s="66">
        <f t="shared" ca="1" si="3"/>
        <v>8.025247971145176E-2</v>
      </c>
      <c r="P17" s="64">
        <f ca="1">SUM(P8:P16)</f>
        <v>302</v>
      </c>
      <c r="Q17" s="66">
        <f t="shared" ca="1" si="4"/>
        <v>0.27231740306582508</v>
      </c>
    </row>
    <row r="18" spans="2:17" ht="6" customHeight="1" x14ac:dyDescent="0.35">
      <c r="E18" s="6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2:17" ht="18" customHeight="1" x14ac:dyDescent="0.35">
      <c r="B19" s="4" t="str">
        <f>B7</f>
        <v>Dec 2025</v>
      </c>
      <c r="C19" s="4" t="s">
        <v>28</v>
      </c>
      <c r="D19" s="4" t="str">
        <f>B19&amp;"-"&amp;C19</f>
        <v>Dec 2025-WEST-1</v>
      </c>
      <c r="E19" s="67" t="str">
        <f>IFERROR(VLOOKUP(D19,WORKSHEET!$J$4:$AM$502,13,FALSE),"")</f>
        <v>Toyota of Surprise</v>
      </c>
      <c r="F19" s="68">
        <f>IF($E19="","",VLOOKUP(D19,WORKSHEET!$J$4:$AM$502,14,FALSE))</f>
        <v>1</v>
      </c>
      <c r="G19" s="69">
        <f>IF($E19="","",VLOOKUP(D19,WORKSHEET!$J$4:$AM$502,15,FALSE))</f>
        <v>1</v>
      </c>
      <c r="H19" s="19">
        <f>IF($E19="","",IFERROR(G19/F19,0))</f>
        <v>1</v>
      </c>
      <c r="I19" s="68">
        <f>IF($E19="","",VLOOKUP(D19,WORKSHEET!$J$4:$AM$502,21,FALSE))</f>
        <v>1</v>
      </c>
      <c r="J19" s="19">
        <f>IF($E19="","",IFERROR(I19/F19,0))</f>
        <v>1</v>
      </c>
      <c r="K19" s="69">
        <f>IF($E19="","",VLOOKUP(D19,WORKSHEET!$J$4:$AM$502,23,FALSE))</f>
        <v>0</v>
      </c>
      <c r="L19" s="68">
        <f>IF($E19="","",VLOOKUP(D19,WORKSHEET!$J$4:$AM$502,24,FALSE))</f>
        <v>0</v>
      </c>
      <c r="M19" s="68">
        <f>IF($E19="","",VLOOKUP(D19,WORKSHEET!$J$4:$AM$502,25,FALSE))</f>
        <v>0</v>
      </c>
      <c r="N19" s="68">
        <f>IF($E19="","",SUM(K19:M19))</f>
        <v>0</v>
      </c>
      <c r="O19" s="70">
        <f>IF($E19="","",IFERROR(SUM(K19:M19)/F19,0))</f>
        <v>0</v>
      </c>
      <c r="P19" s="71">
        <f>IF($E19="","",VLOOKUP(D19,WORKSHEET!$J$4:$AM$502,27,FALSE)+VLOOKUP(D19,WORKSHEET!$J$4:$AM$502,28,FALSE)+VLOOKUP(D19,WORKSHEET!$J$4:$AM$502,29,FALSE))</f>
        <v>0</v>
      </c>
      <c r="Q19" s="70">
        <f>IF($E19="","",IFERROR(P19/F19,0))</f>
        <v>0</v>
      </c>
    </row>
    <row r="20" spans="2:17" ht="18" customHeight="1" x14ac:dyDescent="0.35">
      <c r="B20" s="4" t="str">
        <f t="shared" ref="B20:B83" si="11">B19</f>
        <v>Dec 2025</v>
      </c>
      <c r="C20" s="4" t="s">
        <v>29</v>
      </c>
      <c r="D20" s="4" t="str">
        <f t="shared" ref="D20:D71" si="12">B20&amp;"-"&amp;C20</f>
        <v>Dec 2025-WEST-2</v>
      </c>
      <c r="E20" s="67" t="str">
        <f>IFERROR(VLOOKUP(D20,WORKSHEET!$J$4:$AM$502,13,FALSE),"")</f>
        <v>Motorwerks BMW</v>
      </c>
      <c r="F20" s="68">
        <f>IF($E20="","",VLOOKUP(D20,WORKSHEET!$J$4:$AM$502,14,FALSE))</f>
        <v>24</v>
      </c>
      <c r="G20" s="69">
        <f>IF($E20="","",VLOOKUP(D20,WORKSHEET!$J$4:$AM$502,15,FALSE))</f>
        <v>16</v>
      </c>
      <c r="H20" s="19">
        <f t="shared" ref="H20:H70" si="13">IF($E20="","",IFERROR(G20/F20,0))</f>
        <v>0.66666666666666663</v>
      </c>
      <c r="I20" s="68">
        <f>IF($E20="","",VLOOKUP(D20,WORKSHEET!$J$4:$AM$502,21,FALSE))</f>
        <v>21</v>
      </c>
      <c r="J20" s="19">
        <f t="shared" ref="J20:J70" si="14">IF($E20="","",IFERROR(I20/F20,0))</f>
        <v>0.875</v>
      </c>
      <c r="K20" s="69">
        <f>IF($E20="","",VLOOKUP(D20,WORKSHEET!$J$4:$AM$502,23,FALSE))</f>
        <v>0</v>
      </c>
      <c r="L20" s="68">
        <f>IF($E20="","",VLOOKUP(D20,WORKSHEET!$J$4:$AM$502,24,FALSE))</f>
        <v>0</v>
      </c>
      <c r="M20" s="68">
        <f>IF($E20="","",VLOOKUP(D20,WORKSHEET!$J$4:$AM$502,25,FALSE))</f>
        <v>0</v>
      </c>
      <c r="N20" s="68">
        <f t="shared" ref="N20:N70" si="15">IF($E20="","",SUM(K20:M20))</f>
        <v>0</v>
      </c>
      <c r="O20" s="70">
        <f t="shared" ref="O20:O70" si="16">IF($E20="","",IFERROR(SUM(K20:M20)/F20,0))</f>
        <v>0</v>
      </c>
      <c r="P20" s="71">
        <f>IF($E20="","",VLOOKUP(D20,WORKSHEET!$J$4:$AM$502,27,FALSE)+VLOOKUP(D20,WORKSHEET!$J$4:$AM$502,28,FALSE)+VLOOKUP(D20,WORKSHEET!$J$4:$AM$502,29,FALSE))</f>
        <v>3</v>
      </c>
      <c r="Q20" s="70">
        <f t="shared" ref="Q20:Q70" si="17">IF($E20="","",IFERROR(P20/F20,0))</f>
        <v>0.125</v>
      </c>
    </row>
    <row r="21" spans="2:17" ht="18" customHeight="1" x14ac:dyDescent="0.35">
      <c r="B21" s="4" t="str">
        <f t="shared" si="11"/>
        <v>Dec 2025</v>
      </c>
      <c r="C21" s="4" t="s">
        <v>30</v>
      </c>
      <c r="D21" s="4" t="str">
        <f t="shared" si="12"/>
        <v>Dec 2025-WEST-3</v>
      </c>
      <c r="E21" s="67" t="str">
        <f>IFERROR(VLOOKUP(D21,WORKSHEET!$J$4:$AM$502,13,FALSE),"")</f>
        <v>Lexus of Lakeway</v>
      </c>
      <c r="F21" s="68">
        <f>IF($E21="","",VLOOKUP(D21,WORKSHEET!$J$4:$AM$502,14,FALSE))</f>
        <v>10</v>
      </c>
      <c r="G21" s="69">
        <f>IF($E21="","",VLOOKUP(D21,WORKSHEET!$J$4:$AM$502,15,FALSE))</f>
        <v>6</v>
      </c>
      <c r="H21" s="19">
        <f t="shared" si="13"/>
        <v>0.6</v>
      </c>
      <c r="I21" s="68">
        <f>IF($E21="","",VLOOKUP(D21,WORKSHEET!$J$4:$AM$502,21,FALSE))</f>
        <v>9</v>
      </c>
      <c r="J21" s="19">
        <f t="shared" si="14"/>
        <v>0.9</v>
      </c>
      <c r="K21" s="69">
        <f>IF($E21="","",VLOOKUP(D21,WORKSHEET!$J$4:$AM$502,23,FALSE))</f>
        <v>0</v>
      </c>
      <c r="L21" s="68">
        <f>IF($E21="","",VLOOKUP(D21,WORKSHEET!$J$4:$AM$502,24,FALSE))</f>
        <v>0</v>
      </c>
      <c r="M21" s="68">
        <f>IF($E21="","",VLOOKUP(D21,WORKSHEET!$J$4:$AM$502,25,FALSE))</f>
        <v>0</v>
      </c>
      <c r="N21" s="68">
        <f t="shared" si="15"/>
        <v>0</v>
      </c>
      <c r="O21" s="70">
        <f t="shared" si="16"/>
        <v>0</v>
      </c>
      <c r="P21" s="71">
        <f>IF($E21="","",VLOOKUP(D21,WORKSHEET!$J$4:$AM$502,27,FALSE)+VLOOKUP(D21,WORKSHEET!$J$4:$AM$502,28,FALSE)+VLOOKUP(D21,WORKSHEET!$J$4:$AM$502,29,FALSE))</f>
        <v>1</v>
      </c>
      <c r="Q21" s="70">
        <f t="shared" si="17"/>
        <v>0.1</v>
      </c>
    </row>
    <row r="22" spans="2:17" ht="18" customHeight="1" x14ac:dyDescent="0.35">
      <c r="B22" s="4" t="str">
        <f t="shared" si="11"/>
        <v>Dec 2025</v>
      </c>
      <c r="C22" s="4" t="s">
        <v>31</v>
      </c>
      <c r="D22" s="4" t="str">
        <f t="shared" si="12"/>
        <v>Dec 2025-WEST-4</v>
      </c>
      <c r="E22" s="67" t="str">
        <f>IFERROR(VLOOKUP(D22,WORKSHEET!$J$4:$AM$502,13,FALSE),"")</f>
        <v>BMW of Austin</v>
      </c>
      <c r="F22" s="68">
        <f>IF($E22="","",VLOOKUP(D22,WORKSHEET!$J$4:$AM$502,14,FALSE))</f>
        <v>40</v>
      </c>
      <c r="G22" s="69">
        <f>IF($E22="","",VLOOKUP(D22,WORKSHEET!$J$4:$AM$502,15,FALSE))</f>
        <v>23</v>
      </c>
      <c r="H22" s="19">
        <f t="shared" si="13"/>
        <v>0.57499999999999996</v>
      </c>
      <c r="I22" s="68">
        <f>IF($E22="","",VLOOKUP(D22,WORKSHEET!$J$4:$AM$502,21,FALSE))</f>
        <v>32</v>
      </c>
      <c r="J22" s="19">
        <f t="shared" si="14"/>
        <v>0.8</v>
      </c>
      <c r="K22" s="69">
        <f>IF($E22="","",VLOOKUP(D22,WORKSHEET!$J$4:$AM$502,23,FALSE))</f>
        <v>0</v>
      </c>
      <c r="L22" s="68">
        <f>IF($E22="","",VLOOKUP(D22,WORKSHEET!$J$4:$AM$502,24,FALSE))</f>
        <v>0</v>
      </c>
      <c r="M22" s="68">
        <f>IF($E22="","",VLOOKUP(D22,WORKSHEET!$J$4:$AM$502,25,FALSE))</f>
        <v>0</v>
      </c>
      <c r="N22" s="68">
        <f t="shared" si="15"/>
        <v>0</v>
      </c>
      <c r="O22" s="70">
        <f t="shared" si="16"/>
        <v>0</v>
      </c>
      <c r="P22" s="71">
        <f>IF($E22="","",VLOOKUP(D22,WORKSHEET!$J$4:$AM$502,27,FALSE)+VLOOKUP(D22,WORKSHEET!$J$4:$AM$502,28,FALSE)+VLOOKUP(D22,WORKSHEET!$J$4:$AM$502,29,FALSE))</f>
        <v>8</v>
      </c>
      <c r="Q22" s="70">
        <f t="shared" si="17"/>
        <v>0.2</v>
      </c>
    </row>
    <row r="23" spans="2:17" ht="18" customHeight="1" x14ac:dyDescent="0.35">
      <c r="B23" s="4" t="str">
        <f t="shared" si="11"/>
        <v>Dec 2025</v>
      </c>
      <c r="C23" s="4" t="s">
        <v>32</v>
      </c>
      <c r="D23" s="4" t="str">
        <f t="shared" si="12"/>
        <v>Dec 2025-WEST-5</v>
      </c>
      <c r="E23" s="67" t="str">
        <f>IFERROR(VLOOKUP(D23,WORKSHEET!$J$4:$AM$502,13,FALSE),"")</f>
        <v>Honda Leander</v>
      </c>
      <c r="F23" s="68">
        <f>IF($E23="","",VLOOKUP(D23,WORKSHEET!$J$4:$AM$502,14,FALSE))</f>
        <v>8</v>
      </c>
      <c r="G23" s="69">
        <f>IF($E23="","",VLOOKUP(D23,WORKSHEET!$J$4:$AM$502,15,FALSE))</f>
        <v>4</v>
      </c>
      <c r="H23" s="19">
        <f t="shared" si="13"/>
        <v>0.5</v>
      </c>
      <c r="I23" s="68">
        <f>IF($E23="","",VLOOKUP(D23,WORKSHEET!$J$4:$AM$502,21,FALSE))</f>
        <v>5</v>
      </c>
      <c r="J23" s="19">
        <f t="shared" si="14"/>
        <v>0.625</v>
      </c>
      <c r="K23" s="69">
        <f>IF($E23="","",VLOOKUP(D23,WORKSHEET!$J$4:$AM$502,23,FALSE))</f>
        <v>0</v>
      </c>
      <c r="L23" s="68">
        <f>IF($E23="","",VLOOKUP(D23,WORKSHEET!$J$4:$AM$502,24,FALSE))</f>
        <v>2</v>
      </c>
      <c r="M23" s="68">
        <f>IF($E23="","",VLOOKUP(D23,WORKSHEET!$J$4:$AM$502,25,FALSE))</f>
        <v>0</v>
      </c>
      <c r="N23" s="68">
        <f t="shared" si="15"/>
        <v>2</v>
      </c>
      <c r="O23" s="70">
        <f t="shared" si="16"/>
        <v>0.25</v>
      </c>
      <c r="P23" s="71">
        <f>IF($E23="","",VLOOKUP(D23,WORKSHEET!$J$4:$AM$502,27,FALSE)+VLOOKUP(D23,WORKSHEET!$J$4:$AM$502,28,FALSE)+VLOOKUP(D23,WORKSHEET!$J$4:$AM$502,29,FALSE))</f>
        <v>1</v>
      </c>
      <c r="Q23" s="70">
        <f t="shared" si="17"/>
        <v>0.125</v>
      </c>
    </row>
    <row r="24" spans="2:17" ht="18" customHeight="1" x14ac:dyDescent="0.35">
      <c r="B24" s="4" t="str">
        <f t="shared" si="11"/>
        <v>Dec 2025</v>
      </c>
      <c r="C24" s="4" t="s">
        <v>33</v>
      </c>
      <c r="D24" s="4" t="str">
        <f t="shared" si="12"/>
        <v>Dec 2025-WEST-6</v>
      </c>
      <c r="E24" s="67" t="str">
        <f>IFERROR(VLOOKUP(D24,WORKSHEET!$J$4:$AM$502,13,FALSE),"")</f>
        <v>Land Rover North Scottsdale</v>
      </c>
      <c r="F24" s="68">
        <f>IF($E24="","",VLOOKUP(D24,WORKSHEET!$J$4:$AM$502,14,FALSE))</f>
        <v>4</v>
      </c>
      <c r="G24" s="69">
        <f>IF($E24="","",VLOOKUP(D24,WORKSHEET!$J$4:$AM$502,15,FALSE))</f>
        <v>2</v>
      </c>
      <c r="H24" s="19">
        <f t="shared" si="13"/>
        <v>0.5</v>
      </c>
      <c r="I24" s="68">
        <f>IF($E24="","",VLOOKUP(D24,WORKSHEET!$J$4:$AM$502,21,FALSE))</f>
        <v>3</v>
      </c>
      <c r="J24" s="19">
        <f t="shared" si="14"/>
        <v>0.75</v>
      </c>
      <c r="K24" s="69">
        <f>IF($E24="","",VLOOKUP(D24,WORKSHEET!$J$4:$AM$502,23,FALSE))</f>
        <v>0</v>
      </c>
      <c r="L24" s="68">
        <f>IF($E24="","",VLOOKUP(D24,WORKSHEET!$J$4:$AM$502,24,FALSE))</f>
        <v>0</v>
      </c>
      <c r="M24" s="68">
        <f>IF($E24="","",VLOOKUP(D24,WORKSHEET!$J$4:$AM$502,25,FALSE))</f>
        <v>0</v>
      </c>
      <c r="N24" s="68">
        <f t="shared" si="15"/>
        <v>0</v>
      </c>
      <c r="O24" s="70">
        <f t="shared" si="16"/>
        <v>0</v>
      </c>
      <c r="P24" s="71">
        <f>IF($E24="","",VLOOKUP(D24,WORKSHEET!$J$4:$AM$502,27,FALSE)+VLOOKUP(D24,WORKSHEET!$J$4:$AM$502,28,FALSE)+VLOOKUP(D24,WORKSHEET!$J$4:$AM$502,29,FALSE))</f>
        <v>1</v>
      </c>
      <c r="Q24" s="70">
        <f t="shared" si="17"/>
        <v>0.25</v>
      </c>
    </row>
    <row r="25" spans="2:17" ht="18" customHeight="1" x14ac:dyDescent="0.35">
      <c r="B25" s="4" t="str">
        <f t="shared" si="11"/>
        <v>Dec 2025</v>
      </c>
      <c r="C25" s="4" t="s">
        <v>34</v>
      </c>
      <c r="D25" s="4" t="str">
        <f t="shared" si="12"/>
        <v>Dec 2025-WEST-7</v>
      </c>
      <c r="E25" s="67" t="str">
        <f>IFERROR(VLOOKUP(D25,WORKSHEET!$J$4:$AM$502,13,FALSE),"")</f>
        <v>Lexus of Austin</v>
      </c>
      <c r="F25" s="68">
        <f>IF($E25="","",VLOOKUP(D25,WORKSHEET!$J$4:$AM$502,14,FALSE))</f>
        <v>14</v>
      </c>
      <c r="G25" s="69">
        <f>IF($E25="","",VLOOKUP(D25,WORKSHEET!$J$4:$AM$502,15,FALSE))</f>
        <v>7</v>
      </c>
      <c r="H25" s="19">
        <f t="shared" si="13"/>
        <v>0.5</v>
      </c>
      <c r="I25" s="68">
        <f>IF($E25="","",VLOOKUP(D25,WORKSHEET!$J$4:$AM$502,21,FALSE))</f>
        <v>11</v>
      </c>
      <c r="J25" s="19">
        <f t="shared" si="14"/>
        <v>0.7857142857142857</v>
      </c>
      <c r="K25" s="69">
        <f>IF($E25="","",VLOOKUP(D25,WORKSHEET!$J$4:$AM$502,23,FALSE))</f>
        <v>0</v>
      </c>
      <c r="L25" s="68">
        <f>IF($E25="","",VLOOKUP(D25,WORKSHEET!$J$4:$AM$502,24,FALSE))</f>
        <v>0</v>
      </c>
      <c r="M25" s="68">
        <f>IF($E25="","",VLOOKUP(D25,WORKSHEET!$J$4:$AM$502,25,FALSE))</f>
        <v>0</v>
      </c>
      <c r="N25" s="68">
        <f t="shared" si="15"/>
        <v>0</v>
      </c>
      <c r="O25" s="70">
        <f t="shared" si="16"/>
        <v>0</v>
      </c>
      <c r="P25" s="71">
        <f>IF($E25="","",VLOOKUP(D25,WORKSHEET!$J$4:$AM$502,27,FALSE)+VLOOKUP(D25,WORKSHEET!$J$4:$AM$502,28,FALSE)+VLOOKUP(D25,WORKSHEET!$J$4:$AM$502,29,FALSE))</f>
        <v>3</v>
      </c>
      <c r="Q25" s="70">
        <f t="shared" si="17"/>
        <v>0.21428571428571427</v>
      </c>
    </row>
    <row r="26" spans="2:17" ht="18" customHeight="1" x14ac:dyDescent="0.35">
      <c r="B26" s="4" t="str">
        <f>B25</f>
        <v>Dec 2025</v>
      </c>
      <c r="C26" s="4" t="s">
        <v>35</v>
      </c>
      <c r="D26" s="4" t="str">
        <f t="shared" si="12"/>
        <v>Dec 2025-WEST-8</v>
      </c>
      <c r="E26" s="67" t="str">
        <f>IFERROR(VLOOKUP(D26,WORKSHEET!$J$4:$AM$502,13,FALSE),"")</f>
        <v>Lexus of Chandler</v>
      </c>
      <c r="F26" s="68">
        <f>IF($E26="","",VLOOKUP(D26,WORKSHEET!$J$4:$AM$502,14,FALSE))</f>
        <v>2</v>
      </c>
      <c r="G26" s="69">
        <f>IF($E26="","",VLOOKUP(D26,WORKSHEET!$J$4:$AM$502,15,FALSE))</f>
        <v>1</v>
      </c>
      <c r="H26" s="19">
        <f t="shared" si="13"/>
        <v>0.5</v>
      </c>
      <c r="I26" s="68">
        <f>IF($E26="","",VLOOKUP(D26,WORKSHEET!$J$4:$AM$502,21,FALSE))</f>
        <v>1</v>
      </c>
      <c r="J26" s="19">
        <f t="shared" si="14"/>
        <v>0.5</v>
      </c>
      <c r="K26" s="69">
        <f>IF($E26="","",VLOOKUP(D26,WORKSHEET!$J$4:$AM$502,23,FALSE))</f>
        <v>0</v>
      </c>
      <c r="L26" s="68">
        <f>IF($E26="","",VLOOKUP(D26,WORKSHEET!$J$4:$AM$502,24,FALSE))</f>
        <v>0</v>
      </c>
      <c r="M26" s="68">
        <f>IF($E26="","",VLOOKUP(D26,WORKSHEET!$J$4:$AM$502,25,FALSE))</f>
        <v>0</v>
      </c>
      <c r="N26" s="68">
        <f t="shared" si="15"/>
        <v>0</v>
      </c>
      <c r="O26" s="70">
        <f t="shared" si="16"/>
        <v>0</v>
      </c>
      <c r="P26" s="71">
        <f>IF($E26="","",VLOOKUP(D26,WORKSHEET!$J$4:$AM$502,27,FALSE)+VLOOKUP(D26,WORKSHEET!$J$4:$AM$502,28,FALSE)+VLOOKUP(D26,WORKSHEET!$J$4:$AM$502,29,FALSE))</f>
        <v>1</v>
      </c>
      <c r="Q26" s="70">
        <f t="shared" si="17"/>
        <v>0.5</v>
      </c>
    </row>
    <row r="27" spans="2:17" ht="18" customHeight="1" x14ac:dyDescent="0.35">
      <c r="B27" s="4" t="str">
        <f t="shared" si="11"/>
        <v>Dec 2025</v>
      </c>
      <c r="C27" s="4" t="s">
        <v>36</v>
      </c>
      <c r="D27" s="4" t="str">
        <f t="shared" si="12"/>
        <v>Dec 2025-WEST-9</v>
      </c>
      <c r="E27" s="67" t="str">
        <f>IFERROR(VLOOKUP(D27,WORKSHEET!$J$4:$AM$502,13,FALSE),"")</f>
        <v>Lexus San Diego</v>
      </c>
      <c r="F27" s="68">
        <f>IF($E27="","",VLOOKUP(D27,WORKSHEET!$J$4:$AM$502,14,FALSE))</f>
        <v>8</v>
      </c>
      <c r="G27" s="69">
        <f>IF($E27="","",VLOOKUP(D27,WORKSHEET!$J$4:$AM$502,15,FALSE))</f>
        <v>4</v>
      </c>
      <c r="H27" s="19">
        <f t="shared" si="13"/>
        <v>0.5</v>
      </c>
      <c r="I27" s="68">
        <f>IF($E27="","",VLOOKUP(D27,WORKSHEET!$J$4:$AM$502,21,FALSE))</f>
        <v>6</v>
      </c>
      <c r="J27" s="19">
        <f t="shared" si="14"/>
        <v>0.75</v>
      </c>
      <c r="K27" s="69">
        <f>IF($E27="","",VLOOKUP(D27,WORKSHEET!$J$4:$AM$502,23,FALSE))</f>
        <v>2</v>
      </c>
      <c r="L27" s="68">
        <f>IF($E27="","",VLOOKUP(D27,WORKSHEET!$J$4:$AM$502,24,FALSE))</f>
        <v>0</v>
      </c>
      <c r="M27" s="68">
        <f>IF($E27="","",VLOOKUP(D27,WORKSHEET!$J$4:$AM$502,25,FALSE))</f>
        <v>0</v>
      </c>
      <c r="N27" s="68">
        <f t="shared" si="15"/>
        <v>2</v>
      </c>
      <c r="O27" s="70">
        <f t="shared" si="16"/>
        <v>0.25</v>
      </c>
      <c r="P27" s="71">
        <f>IF($E27="","",VLOOKUP(D27,WORKSHEET!$J$4:$AM$502,27,FALSE)+VLOOKUP(D27,WORKSHEET!$J$4:$AM$502,28,FALSE)+VLOOKUP(D27,WORKSHEET!$J$4:$AM$502,29,FALSE))</f>
        <v>0</v>
      </c>
      <c r="Q27" s="70">
        <f t="shared" si="17"/>
        <v>0</v>
      </c>
    </row>
    <row r="28" spans="2:17" ht="18" customHeight="1" x14ac:dyDescent="0.35">
      <c r="B28" s="4" t="str">
        <f t="shared" si="11"/>
        <v>Dec 2025</v>
      </c>
      <c r="C28" s="4" t="s">
        <v>37</v>
      </c>
      <c r="D28" s="4" t="str">
        <f t="shared" si="12"/>
        <v>Dec 2025-WEST-10</v>
      </c>
      <c r="E28" s="67" t="str">
        <f>IFERROR(VLOOKUP(D28,WORKSHEET!$J$4:$AM$502,13,FALSE),"")</f>
        <v>MINI North Scottsdale</v>
      </c>
      <c r="F28" s="68">
        <f>IF($E28="","",VLOOKUP(D28,WORKSHEET!$J$4:$AM$502,14,FALSE))</f>
        <v>2</v>
      </c>
      <c r="G28" s="69">
        <f>IF($E28="","",VLOOKUP(D28,WORKSHEET!$J$4:$AM$502,15,FALSE))</f>
        <v>1</v>
      </c>
      <c r="H28" s="19">
        <f t="shared" si="13"/>
        <v>0.5</v>
      </c>
      <c r="I28" s="68">
        <f>IF($E28="","",VLOOKUP(D28,WORKSHEET!$J$4:$AM$502,21,FALSE))</f>
        <v>1</v>
      </c>
      <c r="J28" s="19">
        <f t="shared" si="14"/>
        <v>0.5</v>
      </c>
      <c r="K28" s="69">
        <f>IF($E28="","",VLOOKUP(D28,WORKSHEET!$J$4:$AM$502,23,FALSE))</f>
        <v>1</v>
      </c>
      <c r="L28" s="68">
        <f>IF($E28="","",VLOOKUP(D28,WORKSHEET!$J$4:$AM$502,24,FALSE))</f>
        <v>0</v>
      </c>
      <c r="M28" s="68">
        <f>IF($E28="","",VLOOKUP(D28,WORKSHEET!$J$4:$AM$502,25,FALSE))</f>
        <v>0</v>
      </c>
      <c r="N28" s="68">
        <f t="shared" si="15"/>
        <v>1</v>
      </c>
      <c r="O28" s="70">
        <f t="shared" si="16"/>
        <v>0.5</v>
      </c>
      <c r="P28" s="71">
        <f>IF($E28="","",VLOOKUP(D28,WORKSHEET!$J$4:$AM$502,27,FALSE)+VLOOKUP(D28,WORKSHEET!$J$4:$AM$502,28,FALSE)+VLOOKUP(D28,WORKSHEET!$J$4:$AM$502,29,FALSE))</f>
        <v>0</v>
      </c>
      <c r="Q28" s="70">
        <f t="shared" si="17"/>
        <v>0</v>
      </c>
    </row>
    <row r="29" spans="2:17" ht="18" customHeight="1" x14ac:dyDescent="0.35">
      <c r="B29" s="4" t="str">
        <f t="shared" si="11"/>
        <v>Dec 2025</v>
      </c>
      <c r="C29" s="4" t="s">
        <v>38</v>
      </c>
      <c r="D29" s="4" t="str">
        <f t="shared" si="12"/>
        <v>Dec 2025-WEST-11</v>
      </c>
      <c r="E29" s="67" t="str">
        <f>IFERROR(VLOOKUP(D29,WORKSHEET!$J$4:$AM$502,13,FALSE),"")</f>
        <v>MINI of Tempe</v>
      </c>
      <c r="F29" s="68">
        <f>IF($E29="","",VLOOKUP(D29,WORKSHEET!$J$4:$AM$502,14,FALSE))</f>
        <v>2</v>
      </c>
      <c r="G29" s="69">
        <f>IF($E29="","",VLOOKUP(D29,WORKSHEET!$J$4:$AM$502,15,FALSE))</f>
        <v>1</v>
      </c>
      <c r="H29" s="19">
        <f t="shared" si="13"/>
        <v>0.5</v>
      </c>
      <c r="I29" s="68">
        <f>IF($E29="","",VLOOKUP(D29,WORKSHEET!$J$4:$AM$502,21,FALSE))</f>
        <v>1</v>
      </c>
      <c r="J29" s="19">
        <f t="shared" si="14"/>
        <v>0.5</v>
      </c>
      <c r="K29" s="69">
        <f>IF($E29="","",VLOOKUP(D29,WORKSHEET!$J$4:$AM$502,23,FALSE))</f>
        <v>0</v>
      </c>
      <c r="L29" s="68">
        <f>IF($E29="","",VLOOKUP(D29,WORKSHEET!$J$4:$AM$502,24,FALSE))</f>
        <v>0</v>
      </c>
      <c r="M29" s="68">
        <f>IF($E29="","",VLOOKUP(D29,WORKSHEET!$J$4:$AM$502,25,FALSE))</f>
        <v>0</v>
      </c>
      <c r="N29" s="68">
        <f t="shared" si="15"/>
        <v>0</v>
      </c>
      <c r="O29" s="70">
        <f t="shared" si="16"/>
        <v>0</v>
      </c>
      <c r="P29" s="71">
        <f>IF($E29="","",VLOOKUP(D29,WORKSHEET!$J$4:$AM$502,27,FALSE)+VLOOKUP(D29,WORKSHEET!$J$4:$AM$502,28,FALSE)+VLOOKUP(D29,WORKSHEET!$J$4:$AM$502,29,FALSE))</f>
        <v>1</v>
      </c>
      <c r="Q29" s="70">
        <f t="shared" si="17"/>
        <v>0.5</v>
      </c>
    </row>
    <row r="30" spans="2:17" ht="18" customHeight="1" x14ac:dyDescent="0.35">
      <c r="B30" s="4" t="str">
        <f t="shared" si="11"/>
        <v>Dec 2025</v>
      </c>
      <c r="C30" s="4" t="s">
        <v>39</v>
      </c>
      <c r="D30" s="4" t="str">
        <f t="shared" si="12"/>
        <v>Dec 2025-WEST-12</v>
      </c>
      <c r="E30" s="67" t="str">
        <f>IFERROR(VLOOKUP(D30,WORKSHEET!$J$4:$AM$502,13,FALSE),"")</f>
        <v>Porsche North Scottsdale</v>
      </c>
      <c r="F30" s="68">
        <f>IF($E30="","",VLOOKUP(D30,WORKSHEET!$J$4:$AM$502,14,FALSE))</f>
        <v>4</v>
      </c>
      <c r="G30" s="69">
        <f>IF($E30="","",VLOOKUP(D30,WORKSHEET!$J$4:$AM$502,15,FALSE))</f>
        <v>2</v>
      </c>
      <c r="H30" s="19">
        <f t="shared" si="13"/>
        <v>0.5</v>
      </c>
      <c r="I30" s="68">
        <f>IF($E30="","",VLOOKUP(D30,WORKSHEET!$J$4:$AM$502,21,FALSE))</f>
        <v>3</v>
      </c>
      <c r="J30" s="19">
        <f t="shared" si="14"/>
        <v>0.75</v>
      </c>
      <c r="K30" s="69">
        <f>IF($E30="","",VLOOKUP(D30,WORKSHEET!$J$4:$AM$502,23,FALSE))</f>
        <v>0</v>
      </c>
      <c r="L30" s="68">
        <f>IF($E30="","",VLOOKUP(D30,WORKSHEET!$J$4:$AM$502,24,FALSE))</f>
        <v>0</v>
      </c>
      <c r="M30" s="68">
        <f>IF($E30="","",VLOOKUP(D30,WORKSHEET!$J$4:$AM$502,25,FALSE))</f>
        <v>0</v>
      </c>
      <c r="N30" s="68">
        <f t="shared" si="15"/>
        <v>0</v>
      </c>
      <c r="O30" s="70">
        <f t="shared" si="16"/>
        <v>0</v>
      </c>
      <c r="P30" s="71">
        <f>IF($E30="","",VLOOKUP(D30,WORKSHEET!$J$4:$AM$502,27,FALSE)+VLOOKUP(D30,WORKSHEET!$J$4:$AM$502,28,FALSE)+VLOOKUP(D30,WORKSHEET!$J$4:$AM$502,29,FALSE))</f>
        <v>1</v>
      </c>
      <c r="Q30" s="70">
        <f t="shared" si="17"/>
        <v>0.25</v>
      </c>
    </row>
    <row r="31" spans="2:17" ht="18" customHeight="1" x14ac:dyDescent="0.35">
      <c r="B31" s="4" t="str">
        <f t="shared" si="11"/>
        <v>Dec 2025</v>
      </c>
      <c r="C31" s="4" t="s">
        <v>40</v>
      </c>
      <c r="D31" s="4" t="str">
        <f t="shared" si="12"/>
        <v>Dec 2025-WEST-13</v>
      </c>
      <c r="E31" s="67" t="str">
        <f>IFERROR(VLOOKUP(D31,WORKSHEET!$J$4:$AM$502,13,FALSE),"")</f>
        <v>Crevier BMW</v>
      </c>
      <c r="F31" s="68">
        <f>IF($E31="","",VLOOKUP(D31,WORKSHEET!$J$4:$AM$502,14,FALSE))</f>
        <v>168</v>
      </c>
      <c r="G31" s="69">
        <f>IF($E31="","",VLOOKUP(D31,WORKSHEET!$J$4:$AM$502,15,FALSE))</f>
        <v>80</v>
      </c>
      <c r="H31" s="19">
        <f t="shared" si="13"/>
        <v>0.47619047619047616</v>
      </c>
      <c r="I31" s="68">
        <f>IF($E31="","",VLOOKUP(D31,WORKSHEET!$J$4:$AM$502,21,FALSE))</f>
        <v>122</v>
      </c>
      <c r="J31" s="19">
        <f t="shared" si="14"/>
        <v>0.72619047619047616</v>
      </c>
      <c r="K31" s="69">
        <f>IF($E31="","",VLOOKUP(D31,WORKSHEET!$J$4:$AM$502,23,FALSE))</f>
        <v>0</v>
      </c>
      <c r="L31" s="68">
        <f>IF($E31="","",VLOOKUP(D31,WORKSHEET!$J$4:$AM$502,24,FALSE))</f>
        <v>0</v>
      </c>
      <c r="M31" s="68">
        <f>IF($E31="","",VLOOKUP(D31,WORKSHEET!$J$4:$AM$502,25,FALSE))</f>
        <v>0</v>
      </c>
      <c r="N31" s="68">
        <f t="shared" si="15"/>
        <v>0</v>
      </c>
      <c r="O31" s="70">
        <f t="shared" si="16"/>
        <v>0</v>
      </c>
      <c r="P31" s="71">
        <f>IF($E31="","",VLOOKUP(D31,WORKSHEET!$J$4:$AM$502,27,FALSE)+VLOOKUP(D31,WORKSHEET!$J$4:$AM$502,28,FALSE)+VLOOKUP(D31,WORKSHEET!$J$4:$AM$502,29,FALSE))</f>
        <v>46</v>
      </c>
      <c r="Q31" s="70">
        <f t="shared" si="17"/>
        <v>0.27380952380952384</v>
      </c>
    </row>
    <row r="32" spans="2:17" ht="18" customHeight="1" x14ac:dyDescent="0.35">
      <c r="B32" s="4" t="str">
        <f t="shared" si="11"/>
        <v>Dec 2025</v>
      </c>
      <c r="C32" s="4" t="s">
        <v>41</v>
      </c>
      <c r="D32" s="4" t="str">
        <f t="shared" si="12"/>
        <v>Dec 2025-WEST-14</v>
      </c>
      <c r="E32" s="67" t="str">
        <f>IFERROR(VLOOKUP(D32,WORKSHEET!$J$4:$AM$502,13,FALSE),"")</f>
        <v>BMW of San Diego</v>
      </c>
      <c r="F32" s="68">
        <f>IF($E32="","",VLOOKUP(D32,WORKSHEET!$J$4:$AM$502,14,FALSE))</f>
        <v>50</v>
      </c>
      <c r="G32" s="69">
        <f>IF($E32="","",VLOOKUP(D32,WORKSHEET!$J$4:$AM$502,15,FALSE))</f>
        <v>23</v>
      </c>
      <c r="H32" s="19">
        <f t="shared" si="13"/>
        <v>0.46</v>
      </c>
      <c r="I32" s="68">
        <f>IF($E32="","",VLOOKUP(D32,WORKSHEET!$J$4:$AM$502,21,FALSE))</f>
        <v>41</v>
      </c>
      <c r="J32" s="19">
        <f t="shared" si="14"/>
        <v>0.82</v>
      </c>
      <c r="K32" s="69">
        <f>IF($E32="","",VLOOKUP(D32,WORKSHEET!$J$4:$AM$502,23,FALSE))</f>
        <v>3</v>
      </c>
      <c r="L32" s="68">
        <f>IF($E32="","",VLOOKUP(D32,WORKSHEET!$J$4:$AM$502,24,FALSE))</f>
        <v>0</v>
      </c>
      <c r="M32" s="68">
        <f>IF($E32="","",VLOOKUP(D32,WORKSHEET!$J$4:$AM$502,25,FALSE))</f>
        <v>0</v>
      </c>
      <c r="N32" s="68">
        <f t="shared" si="15"/>
        <v>3</v>
      </c>
      <c r="O32" s="70">
        <f t="shared" si="16"/>
        <v>0.06</v>
      </c>
      <c r="P32" s="71">
        <f>IF($E32="","",VLOOKUP(D32,WORKSHEET!$J$4:$AM$502,27,FALSE)+VLOOKUP(D32,WORKSHEET!$J$4:$AM$502,28,FALSE)+VLOOKUP(D32,WORKSHEET!$J$4:$AM$502,29,FALSE))</f>
        <v>6</v>
      </c>
      <c r="Q32" s="70">
        <f t="shared" si="17"/>
        <v>0.12</v>
      </c>
    </row>
    <row r="33" spans="2:17" ht="18" customHeight="1" x14ac:dyDescent="0.35">
      <c r="B33" s="4" t="str">
        <f t="shared" si="11"/>
        <v>Dec 2025</v>
      </c>
      <c r="C33" s="4" t="s">
        <v>42</v>
      </c>
      <c r="D33" s="4" t="str">
        <f t="shared" si="12"/>
        <v>Dec 2025-WEST-15</v>
      </c>
      <c r="E33" s="67" t="str">
        <f>IFERROR(VLOOKUP(D33,WORKSHEET!$J$4:$AM$502,13,FALSE),"")</f>
        <v>Acura North Scottsdale</v>
      </c>
      <c r="F33" s="68">
        <f>IF($E33="","",VLOOKUP(D33,WORKSHEET!$J$4:$AM$502,14,FALSE))</f>
        <v>11</v>
      </c>
      <c r="G33" s="69">
        <f>IF($E33="","",VLOOKUP(D33,WORKSHEET!$J$4:$AM$502,15,FALSE))</f>
        <v>5</v>
      </c>
      <c r="H33" s="19">
        <f t="shared" si="13"/>
        <v>0.45454545454545453</v>
      </c>
      <c r="I33" s="68">
        <f>IF($E33="","",VLOOKUP(D33,WORKSHEET!$J$4:$AM$502,21,FALSE))</f>
        <v>7</v>
      </c>
      <c r="J33" s="19">
        <f t="shared" si="14"/>
        <v>0.63636363636363635</v>
      </c>
      <c r="K33" s="69">
        <f>IF($E33="","",VLOOKUP(D33,WORKSHEET!$J$4:$AM$502,23,FALSE))</f>
        <v>1</v>
      </c>
      <c r="L33" s="68">
        <f>IF($E33="","",VLOOKUP(D33,WORKSHEET!$J$4:$AM$502,24,FALSE))</f>
        <v>0</v>
      </c>
      <c r="M33" s="68">
        <f>IF($E33="","",VLOOKUP(D33,WORKSHEET!$J$4:$AM$502,25,FALSE))</f>
        <v>0</v>
      </c>
      <c r="N33" s="68">
        <f t="shared" si="15"/>
        <v>1</v>
      </c>
      <c r="O33" s="70">
        <f t="shared" si="16"/>
        <v>9.0909090909090912E-2</v>
      </c>
      <c r="P33" s="71">
        <f>IF($E33="","",VLOOKUP(D33,WORKSHEET!$J$4:$AM$502,27,FALSE)+VLOOKUP(D33,WORKSHEET!$J$4:$AM$502,28,FALSE)+VLOOKUP(D33,WORKSHEET!$J$4:$AM$502,29,FALSE))</f>
        <v>3</v>
      </c>
      <c r="Q33" s="70">
        <f t="shared" si="17"/>
        <v>0.27272727272727271</v>
      </c>
    </row>
    <row r="34" spans="2:17" ht="18" customHeight="1" x14ac:dyDescent="0.35">
      <c r="B34" s="4" t="str">
        <f t="shared" si="11"/>
        <v>Dec 2025</v>
      </c>
      <c r="C34" s="4" t="s">
        <v>43</v>
      </c>
      <c r="D34" s="4" t="str">
        <f t="shared" si="12"/>
        <v>Dec 2025-WEST-16</v>
      </c>
      <c r="E34" s="67" t="str">
        <f>IFERROR(VLOOKUP(D34,WORKSHEET!$J$4:$AM$502,13,FALSE),"")</f>
        <v>BMW of Ontario</v>
      </c>
      <c r="F34" s="68">
        <f>IF($E34="","",VLOOKUP(D34,WORKSHEET!$J$4:$AM$502,14,FALSE))</f>
        <v>31</v>
      </c>
      <c r="G34" s="69">
        <f>IF($E34="","",VLOOKUP(D34,WORKSHEET!$J$4:$AM$502,15,FALSE))</f>
        <v>14</v>
      </c>
      <c r="H34" s="19">
        <f t="shared" si="13"/>
        <v>0.45161290322580644</v>
      </c>
      <c r="I34" s="68">
        <f>IF($E34="","",VLOOKUP(D34,WORKSHEET!$J$4:$AM$502,21,FALSE))</f>
        <v>17</v>
      </c>
      <c r="J34" s="19">
        <f t="shared" si="14"/>
        <v>0.54838709677419351</v>
      </c>
      <c r="K34" s="69">
        <f>IF($E34="","",VLOOKUP(D34,WORKSHEET!$J$4:$AM$502,23,FALSE))</f>
        <v>0</v>
      </c>
      <c r="L34" s="68">
        <f>IF($E34="","",VLOOKUP(D34,WORKSHEET!$J$4:$AM$502,24,FALSE))</f>
        <v>6</v>
      </c>
      <c r="M34" s="68">
        <f>IF($E34="","",VLOOKUP(D34,WORKSHEET!$J$4:$AM$502,25,FALSE))</f>
        <v>7</v>
      </c>
      <c r="N34" s="68">
        <f t="shared" si="15"/>
        <v>13</v>
      </c>
      <c r="O34" s="70">
        <f t="shared" si="16"/>
        <v>0.41935483870967744</v>
      </c>
      <c r="P34" s="71">
        <f>IF($E34="","",VLOOKUP(D34,WORKSHEET!$J$4:$AM$502,27,FALSE)+VLOOKUP(D34,WORKSHEET!$J$4:$AM$502,28,FALSE)+VLOOKUP(D34,WORKSHEET!$J$4:$AM$502,29,FALSE))</f>
        <v>1</v>
      </c>
      <c r="Q34" s="70">
        <f t="shared" si="17"/>
        <v>3.2258064516129031E-2</v>
      </c>
    </row>
    <row r="35" spans="2:17" ht="18" customHeight="1" x14ac:dyDescent="0.35">
      <c r="B35" s="4" t="str">
        <f t="shared" si="11"/>
        <v>Dec 2025</v>
      </c>
      <c r="C35" s="4" t="s">
        <v>44</v>
      </c>
      <c r="D35" s="4" t="str">
        <f t="shared" si="12"/>
        <v>Dec 2025-WEST-17</v>
      </c>
      <c r="E35" s="67" t="str">
        <f>IFERROR(VLOOKUP(D35,WORKSHEET!$J$4:$AM$502,13,FALSE),"")</f>
        <v>Penske Chevrolet</v>
      </c>
      <c r="F35" s="68">
        <f>IF($E35="","",VLOOKUP(D35,WORKSHEET!$J$4:$AM$502,14,FALSE))</f>
        <v>11</v>
      </c>
      <c r="G35" s="69">
        <f>IF($E35="","",VLOOKUP(D35,WORKSHEET!$J$4:$AM$502,15,FALSE))</f>
        <v>5</v>
      </c>
      <c r="H35" s="19">
        <f t="shared" si="13"/>
        <v>0.45454545454545453</v>
      </c>
      <c r="I35" s="68">
        <f>IF($E35="","",VLOOKUP(D35,WORKSHEET!$J$4:$AM$502,21,FALSE))</f>
        <v>6</v>
      </c>
      <c r="J35" s="19">
        <f t="shared" si="14"/>
        <v>0.54545454545454541</v>
      </c>
      <c r="K35" s="69">
        <f>IF($E35="","",VLOOKUP(D35,WORKSHEET!$J$4:$AM$502,23,FALSE))</f>
        <v>3</v>
      </c>
      <c r="L35" s="68">
        <f>IF($E35="","",VLOOKUP(D35,WORKSHEET!$J$4:$AM$502,24,FALSE))</f>
        <v>0</v>
      </c>
      <c r="M35" s="68">
        <f>IF($E35="","",VLOOKUP(D35,WORKSHEET!$J$4:$AM$502,25,FALSE))</f>
        <v>0</v>
      </c>
      <c r="N35" s="68">
        <f t="shared" si="15"/>
        <v>3</v>
      </c>
      <c r="O35" s="70">
        <f t="shared" si="16"/>
        <v>0.27272727272727271</v>
      </c>
      <c r="P35" s="71">
        <f>IF($E35="","",VLOOKUP(D35,WORKSHEET!$J$4:$AM$502,27,FALSE)+VLOOKUP(D35,WORKSHEET!$J$4:$AM$502,28,FALSE)+VLOOKUP(D35,WORKSHEET!$J$4:$AM$502,29,FALSE))</f>
        <v>2</v>
      </c>
      <c r="Q35" s="70">
        <f t="shared" si="17"/>
        <v>0.18181818181818182</v>
      </c>
    </row>
    <row r="36" spans="2:17" ht="18" customHeight="1" x14ac:dyDescent="0.35">
      <c r="B36" s="4" t="str">
        <f t="shared" si="11"/>
        <v>Dec 2025</v>
      </c>
      <c r="C36" s="4" t="s">
        <v>45</v>
      </c>
      <c r="D36" s="4" t="str">
        <f t="shared" si="12"/>
        <v>Dec 2025-WEST-18</v>
      </c>
      <c r="E36" s="67" t="str">
        <f>IFERROR(VLOOKUP(D36,WORKSHEET!$J$4:$AM$502,13,FALSE),"")</f>
        <v>Capitol Acura</v>
      </c>
      <c r="F36" s="68">
        <f>IF($E36="","",VLOOKUP(D36,WORKSHEET!$J$4:$AM$502,14,FALSE))</f>
        <v>9</v>
      </c>
      <c r="G36" s="69">
        <f>IF($E36="","",VLOOKUP(D36,WORKSHEET!$J$4:$AM$502,15,FALSE))</f>
        <v>4</v>
      </c>
      <c r="H36" s="19">
        <f t="shared" si="13"/>
        <v>0.44444444444444442</v>
      </c>
      <c r="I36" s="68">
        <f>IF($E36="","",VLOOKUP(D36,WORKSHEET!$J$4:$AM$502,21,FALSE))</f>
        <v>8</v>
      </c>
      <c r="J36" s="19">
        <f t="shared" si="14"/>
        <v>0.88888888888888884</v>
      </c>
      <c r="K36" s="69">
        <f>IF($E36="","",VLOOKUP(D36,WORKSHEET!$J$4:$AM$502,23,FALSE))</f>
        <v>0</v>
      </c>
      <c r="L36" s="68">
        <f>IF($E36="","",VLOOKUP(D36,WORKSHEET!$J$4:$AM$502,24,FALSE))</f>
        <v>0</v>
      </c>
      <c r="M36" s="68">
        <f>IF($E36="","",VLOOKUP(D36,WORKSHEET!$J$4:$AM$502,25,FALSE))</f>
        <v>0</v>
      </c>
      <c r="N36" s="68">
        <f t="shared" si="15"/>
        <v>0</v>
      </c>
      <c r="O36" s="70">
        <f t="shared" si="16"/>
        <v>0</v>
      </c>
      <c r="P36" s="71">
        <f>IF($E36="","",VLOOKUP(D36,WORKSHEET!$J$4:$AM$502,27,FALSE)+VLOOKUP(D36,WORKSHEET!$J$4:$AM$502,28,FALSE)+VLOOKUP(D36,WORKSHEET!$J$4:$AM$502,29,FALSE))</f>
        <v>1</v>
      </c>
      <c r="Q36" s="70">
        <f t="shared" si="17"/>
        <v>0.1111111111111111</v>
      </c>
    </row>
    <row r="37" spans="2:17" ht="18" customHeight="1" x14ac:dyDescent="0.35">
      <c r="B37" s="4" t="str">
        <f t="shared" si="11"/>
        <v>Dec 2025</v>
      </c>
      <c r="C37" s="4" t="s">
        <v>46</v>
      </c>
      <c r="D37" s="4" t="str">
        <f t="shared" si="12"/>
        <v>Dec 2025-WEST-19</v>
      </c>
      <c r="E37" s="67" t="str">
        <f>IFERROR(VLOOKUP(D37,WORKSHEET!$J$4:$AM$502,13,FALSE),"")</f>
        <v>Mercedes-Benz of North Scottsdale</v>
      </c>
      <c r="F37" s="68">
        <f>IF($E37="","",VLOOKUP(D37,WORKSHEET!$J$4:$AM$502,14,FALSE))</f>
        <v>16</v>
      </c>
      <c r="G37" s="69">
        <f>IF($E37="","",VLOOKUP(D37,WORKSHEET!$J$4:$AM$502,15,FALSE))</f>
        <v>7</v>
      </c>
      <c r="H37" s="19">
        <f t="shared" si="13"/>
        <v>0.4375</v>
      </c>
      <c r="I37" s="68">
        <f>IF($E37="","",VLOOKUP(D37,WORKSHEET!$J$4:$AM$502,21,FALSE))</f>
        <v>13</v>
      </c>
      <c r="J37" s="19">
        <f t="shared" si="14"/>
        <v>0.8125</v>
      </c>
      <c r="K37" s="69">
        <f>IF($E37="","",VLOOKUP(D37,WORKSHEET!$J$4:$AM$502,23,FALSE))</f>
        <v>0</v>
      </c>
      <c r="L37" s="68">
        <f>IF($E37="","",VLOOKUP(D37,WORKSHEET!$J$4:$AM$502,24,FALSE))</f>
        <v>0</v>
      </c>
      <c r="M37" s="68">
        <f>IF($E37="","",VLOOKUP(D37,WORKSHEET!$J$4:$AM$502,25,FALSE))</f>
        <v>0</v>
      </c>
      <c r="N37" s="68">
        <f t="shared" si="15"/>
        <v>0</v>
      </c>
      <c r="O37" s="70">
        <f t="shared" si="16"/>
        <v>0</v>
      </c>
      <c r="P37" s="71">
        <f>IF($E37="","",VLOOKUP(D37,WORKSHEET!$J$4:$AM$502,27,FALSE)+VLOOKUP(D37,WORKSHEET!$J$4:$AM$502,28,FALSE)+VLOOKUP(D37,WORKSHEET!$J$4:$AM$502,29,FALSE))</f>
        <v>3</v>
      </c>
      <c r="Q37" s="70">
        <f t="shared" si="17"/>
        <v>0.1875</v>
      </c>
    </row>
    <row r="38" spans="2:17" ht="18" customHeight="1" x14ac:dyDescent="0.35">
      <c r="B38" s="4" t="str">
        <f t="shared" si="11"/>
        <v>Dec 2025</v>
      </c>
      <c r="C38" s="4" t="s">
        <v>47</v>
      </c>
      <c r="D38" s="4" t="str">
        <f t="shared" si="12"/>
        <v>Dec 2025-WEST-20</v>
      </c>
      <c r="E38" s="67" t="str">
        <f>IFERROR(VLOOKUP(D38,WORKSHEET!$J$4:$AM$502,13,FALSE),"")</f>
        <v>Mercedes-Benz of San Diego</v>
      </c>
      <c r="F38" s="68">
        <f>IF($E38="","",VLOOKUP(D38,WORKSHEET!$J$4:$AM$502,14,FALSE))</f>
        <v>24</v>
      </c>
      <c r="G38" s="69">
        <f>IF($E38="","",VLOOKUP(D38,WORKSHEET!$J$4:$AM$502,15,FALSE))</f>
        <v>10</v>
      </c>
      <c r="H38" s="19">
        <f t="shared" si="13"/>
        <v>0.41666666666666669</v>
      </c>
      <c r="I38" s="68">
        <f>IF($E38="","",VLOOKUP(D38,WORKSHEET!$J$4:$AM$502,21,FALSE))</f>
        <v>15</v>
      </c>
      <c r="J38" s="19">
        <f t="shared" si="14"/>
        <v>0.625</v>
      </c>
      <c r="K38" s="69">
        <f>IF($E38="","",VLOOKUP(D38,WORKSHEET!$J$4:$AM$502,23,FALSE))</f>
        <v>4</v>
      </c>
      <c r="L38" s="68">
        <f>IF($E38="","",VLOOKUP(D38,WORKSHEET!$J$4:$AM$502,24,FALSE))</f>
        <v>0</v>
      </c>
      <c r="M38" s="68">
        <f>IF($E38="","",VLOOKUP(D38,WORKSHEET!$J$4:$AM$502,25,FALSE))</f>
        <v>0</v>
      </c>
      <c r="N38" s="68">
        <f t="shared" si="15"/>
        <v>4</v>
      </c>
      <c r="O38" s="70">
        <f t="shared" si="16"/>
        <v>0.16666666666666666</v>
      </c>
      <c r="P38" s="71">
        <f>IF($E38="","",VLOOKUP(D38,WORKSHEET!$J$4:$AM$502,27,FALSE)+VLOOKUP(D38,WORKSHEET!$J$4:$AM$502,28,FALSE)+VLOOKUP(D38,WORKSHEET!$J$4:$AM$502,29,FALSE))</f>
        <v>5</v>
      </c>
      <c r="Q38" s="70">
        <f t="shared" si="17"/>
        <v>0.20833333333333334</v>
      </c>
    </row>
    <row r="39" spans="2:17" ht="18" customHeight="1" x14ac:dyDescent="0.35">
      <c r="B39" s="4" t="str">
        <f t="shared" si="11"/>
        <v>Dec 2025</v>
      </c>
      <c r="C39" s="4" t="s">
        <v>48</v>
      </c>
      <c r="D39" s="4" t="str">
        <f t="shared" si="12"/>
        <v>Dec 2025-WEST-21</v>
      </c>
      <c r="E39" s="67" t="str">
        <f>IFERROR(VLOOKUP(D39,WORKSHEET!$J$4:$AM$502,13,FALSE),"")</f>
        <v>Penske Honda</v>
      </c>
      <c r="F39" s="68">
        <f>IF($E39="","",VLOOKUP(D39,WORKSHEET!$J$4:$AM$502,14,FALSE))</f>
        <v>70</v>
      </c>
      <c r="G39" s="69">
        <f>IF($E39="","",VLOOKUP(D39,WORKSHEET!$J$4:$AM$502,15,FALSE))</f>
        <v>29</v>
      </c>
      <c r="H39" s="19">
        <f t="shared" si="13"/>
        <v>0.41428571428571431</v>
      </c>
      <c r="I39" s="68">
        <f>IF($E39="","",VLOOKUP(D39,WORKSHEET!$J$4:$AM$502,21,FALSE))</f>
        <v>44</v>
      </c>
      <c r="J39" s="19">
        <f t="shared" si="14"/>
        <v>0.62857142857142856</v>
      </c>
      <c r="K39" s="69">
        <f>IF($E39="","",VLOOKUP(D39,WORKSHEET!$J$4:$AM$502,23,FALSE))</f>
        <v>0</v>
      </c>
      <c r="L39" s="68">
        <f>IF($E39="","",VLOOKUP(D39,WORKSHEET!$J$4:$AM$502,24,FALSE))</f>
        <v>2</v>
      </c>
      <c r="M39" s="68">
        <f>IF($E39="","",VLOOKUP(D39,WORKSHEET!$J$4:$AM$502,25,FALSE))</f>
        <v>0</v>
      </c>
      <c r="N39" s="68">
        <f t="shared" si="15"/>
        <v>2</v>
      </c>
      <c r="O39" s="70">
        <f t="shared" si="16"/>
        <v>2.8571428571428571E-2</v>
      </c>
      <c r="P39" s="71">
        <f>IF($E39="","",VLOOKUP(D39,WORKSHEET!$J$4:$AM$502,27,FALSE)+VLOOKUP(D39,WORKSHEET!$J$4:$AM$502,28,FALSE)+VLOOKUP(D39,WORKSHEET!$J$4:$AM$502,29,FALSE))</f>
        <v>24</v>
      </c>
      <c r="Q39" s="70">
        <f t="shared" si="17"/>
        <v>0.34285714285714286</v>
      </c>
    </row>
    <row r="40" spans="2:17" ht="18" customHeight="1" x14ac:dyDescent="0.35">
      <c r="B40" s="4" t="str">
        <f t="shared" si="11"/>
        <v>Dec 2025</v>
      </c>
      <c r="C40" s="4" t="s">
        <v>49</v>
      </c>
      <c r="D40" s="4" t="str">
        <f t="shared" si="12"/>
        <v>Dec 2025-WEST-22</v>
      </c>
      <c r="E40" s="67" t="str">
        <f>IFERROR(VLOOKUP(D40,WORKSHEET!$J$4:$AM$502,13,FALSE),"")</f>
        <v>Peter Pan BMW</v>
      </c>
      <c r="F40" s="68">
        <f>IF($E40="","",VLOOKUP(D40,WORKSHEET!$J$4:$AM$502,14,FALSE))</f>
        <v>74</v>
      </c>
      <c r="G40" s="69">
        <f>IF($E40="","",VLOOKUP(D40,WORKSHEET!$J$4:$AM$502,15,FALSE))</f>
        <v>30</v>
      </c>
      <c r="H40" s="19">
        <f t="shared" si="13"/>
        <v>0.40540540540540543</v>
      </c>
      <c r="I40" s="68">
        <f>IF($E40="","",VLOOKUP(D40,WORKSHEET!$J$4:$AM$502,21,FALSE))</f>
        <v>52</v>
      </c>
      <c r="J40" s="19">
        <f t="shared" si="14"/>
        <v>0.70270270270270274</v>
      </c>
      <c r="K40" s="69">
        <f>IF($E40="","",VLOOKUP(D40,WORKSHEET!$J$4:$AM$502,23,FALSE))</f>
        <v>0</v>
      </c>
      <c r="L40" s="68">
        <f>IF($E40="","",VLOOKUP(D40,WORKSHEET!$J$4:$AM$502,24,FALSE))</f>
        <v>0</v>
      </c>
      <c r="M40" s="68">
        <f>IF($E40="","",VLOOKUP(D40,WORKSHEET!$J$4:$AM$502,25,FALSE))</f>
        <v>0</v>
      </c>
      <c r="N40" s="68">
        <f t="shared" si="15"/>
        <v>0</v>
      </c>
      <c r="O40" s="70">
        <f t="shared" si="16"/>
        <v>0</v>
      </c>
      <c r="P40" s="71">
        <f>IF($E40="","",VLOOKUP(D40,WORKSHEET!$J$4:$AM$502,27,FALSE)+VLOOKUP(D40,WORKSHEET!$J$4:$AM$502,28,FALSE)+VLOOKUP(D40,WORKSHEET!$J$4:$AM$502,29,FALSE))</f>
        <v>22</v>
      </c>
      <c r="Q40" s="70">
        <f t="shared" si="17"/>
        <v>0.29729729729729731</v>
      </c>
    </row>
    <row r="41" spans="2:17" ht="18" customHeight="1" x14ac:dyDescent="0.35">
      <c r="B41" s="4" t="str">
        <f t="shared" si="11"/>
        <v>Dec 2025</v>
      </c>
      <c r="C41" s="4" t="s">
        <v>50</v>
      </c>
      <c r="D41" s="4" t="str">
        <f t="shared" si="12"/>
        <v>Dec 2025-WEST-23</v>
      </c>
      <c r="E41" s="67" t="str">
        <f>IFERROR(VLOOKUP(D41,WORKSHEET!$J$4:$AM$502,13,FALSE),"")</f>
        <v>MINI of San Diego</v>
      </c>
      <c r="F41" s="68">
        <f>IF($E41="","",VLOOKUP(D41,WORKSHEET!$J$4:$AM$502,14,FALSE))</f>
        <v>10</v>
      </c>
      <c r="G41" s="69">
        <f>IF($E41="","",VLOOKUP(D41,WORKSHEET!$J$4:$AM$502,15,FALSE))</f>
        <v>4</v>
      </c>
      <c r="H41" s="19">
        <f t="shared" si="13"/>
        <v>0.4</v>
      </c>
      <c r="I41" s="68">
        <f>IF($E41="","",VLOOKUP(D41,WORKSHEET!$J$4:$AM$502,21,FALSE))</f>
        <v>5</v>
      </c>
      <c r="J41" s="19">
        <f t="shared" si="14"/>
        <v>0.5</v>
      </c>
      <c r="K41" s="69">
        <f>IF($E41="","",VLOOKUP(D41,WORKSHEET!$J$4:$AM$502,23,FALSE))</f>
        <v>2</v>
      </c>
      <c r="L41" s="68">
        <f>IF($E41="","",VLOOKUP(D41,WORKSHEET!$J$4:$AM$502,24,FALSE))</f>
        <v>0</v>
      </c>
      <c r="M41" s="68">
        <f>IF($E41="","",VLOOKUP(D41,WORKSHEET!$J$4:$AM$502,25,FALSE))</f>
        <v>0</v>
      </c>
      <c r="N41" s="68">
        <f t="shared" si="15"/>
        <v>2</v>
      </c>
      <c r="O41" s="70">
        <f t="shared" si="16"/>
        <v>0.2</v>
      </c>
      <c r="P41" s="71">
        <f>IF($E41="","",VLOOKUP(D41,WORKSHEET!$J$4:$AM$502,27,FALSE)+VLOOKUP(D41,WORKSHEET!$J$4:$AM$502,28,FALSE)+VLOOKUP(D41,WORKSHEET!$J$4:$AM$502,29,FALSE))</f>
        <v>3</v>
      </c>
      <c r="Q41" s="70">
        <f t="shared" si="17"/>
        <v>0.3</v>
      </c>
    </row>
    <row r="42" spans="2:17" ht="18" customHeight="1" x14ac:dyDescent="0.35">
      <c r="B42" s="4" t="str">
        <f t="shared" si="11"/>
        <v>Dec 2025</v>
      </c>
      <c r="C42" s="4" t="s">
        <v>51</v>
      </c>
      <c r="D42" s="4" t="str">
        <f t="shared" si="12"/>
        <v>Dec 2025-WEST-24</v>
      </c>
      <c r="E42" s="67" t="str">
        <f>IFERROR(VLOOKUP(D42,WORKSHEET!$J$4:$AM$502,13,FALSE),"")</f>
        <v>BMW North Scottsdale</v>
      </c>
      <c r="F42" s="68">
        <f>IF($E42="","",VLOOKUP(D42,WORKSHEET!$J$4:$AM$502,14,FALSE))</f>
        <v>53</v>
      </c>
      <c r="G42" s="69">
        <f>IF($E42="","",VLOOKUP(D42,WORKSHEET!$J$4:$AM$502,15,FALSE))</f>
        <v>20</v>
      </c>
      <c r="H42" s="19">
        <f t="shared" si="13"/>
        <v>0.37735849056603776</v>
      </c>
      <c r="I42" s="68">
        <f>IF($E42="","",VLOOKUP(D42,WORKSHEET!$J$4:$AM$502,21,FALSE))</f>
        <v>41</v>
      </c>
      <c r="J42" s="19">
        <f t="shared" si="14"/>
        <v>0.77358490566037741</v>
      </c>
      <c r="K42" s="69">
        <f>IF($E42="","",VLOOKUP(D42,WORKSHEET!$J$4:$AM$502,23,FALSE))</f>
        <v>0</v>
      </c>
      <c r="L42" s="68">
        <f>IF($E42="","",VLOOKUP(D42,WORKSHEET!$J$4:$AM$502,24,FALSE))</f>
        <v>0</v>
      </c>
      <c r="M42" s="68">
        <f>IF($E42="","",VLOOKUP(D42,WORKSHEET!$J$4:$AM$502,25,FALSE))</f>
        <v>0</v>
      </c>
      <c r="N42" s="68">
        <f t="shared" si="15"/>
        <v>0</v>
      </c>
      <c r="O42" s="70">
        <f t="shared" si="16"/>
        <v>0</v>
      </c>
      <c r="P42" s="71">
        <f>IF($E42="","",VLOOKUP(D42,WORKSHEET!$J$4:$AM$502,27,FALSE)+VLOOKUP(D42,WORKSHEET!$J$4:$AM$502,28,FALSE)+VLOOKUP(D42,WORKSHEET!$J$4:$AM$502,29,FALSE))</f>
        <v>12</v>
      </c>
      <c r="Q42" s="70">
        <f t="shared" si="17"/>
        <v>0.22641509433962265</v>
      </c>
    </row>
    <row r="43" spans="2:17" ht="18" customHeight="1" x14ac:dyDescent="0.35">
      <c r="B43" s="4" t="str">
        <f t="shared" si="11"/>
        <v>Dec 2025</v>
      </c>
      <c r="C43" s="4" t="s">
        <v>52</v>
      </c>
      <c r="D43" s="4" t="str">
        <f t="shared" si="12"/>
        <v>Dec 2025-WEST-25</v>
      </c>
      <c r="E43" s="67" t="str">
        <f>IFERROR(VLOOKUP(D43,WORKSHEET!$J$4:$AM$502,13,FALSE),"")</f>
        <v>Honda of Escondido</v>
      </c>
      <c r="F43" s="68">
        <f>IF($E43="","",VLOOKUP(D43,WORKSHEET!$J$4:$AM$502,14,FALSE))</f>
        <v>14</v>
      </c>
      <c r="G43" s="69">
        <f>IF($E43="","",VLOOKUP(D43,WORKSHEET!$J$4:$AM$502,15,FALSE))</f>
        <v>5</v>
      </c>
      <c r="H43" s="19">
        <f t="shared" si="13"/>
        <v>0.35714285714285715</v>
      </c>
      <c r="I43" s="68">
        <f>IF($E43="","",VLOOKUP(D43,WORKSHEET!$J$4:$AM$502,21,FALSE))</f>
        <v>11</v>
      </c>
      <c r="J43" s="19">
        <f t="shared" si="14"/>
        <v>0.7857142857142857</v>
      </c>
      <c r="K43" s="69">
        <f>IF($E43="","",VLOOKUP(D43,WORKSHEET!$J$4:$AM$502,23,FALSE))</f>
        <v>0</v>
      </c>
      <c r="L43" s="68">
        <f>IF($E43="","",VLOOKUP(D43,WORKSHEET!$J$4:$AM$502,24,FALSE))</f>
        <v>1</v>
      </c>
      <c r="M43" s="68">
        <f>IF($E43="","",VLOOKUP(D43,WORKSHEET!$J$4:$AM$502,25,FALSE))</f>
        <v>0</v>
      </c>
      <c r="N43" s="68">
        <f t="shared" si="15"/>
        <v>1</v>
      </c>
      <c r="O43" s="70">
        <f t="shared" si="16"/>
        <v>7.1428571428571425E-2</v>
      </c>
      <c r="P43" s="71">
        <f>IF($E43="","",VLOOKUP(D43,WORKSHEET!$J$4:$AM$502,27,FALSE)+VLOOKUP(D43,WORKSHEET!$J$4:$AM$502,28,FALSE)+VLOOKUP(D43,WORKSHEET!$J$4:$AM$502,29,FALSE))</f>
        <v>2</v>
      </c>
      <c r="Q43" s="70">
        <f t="shared" si="17"/>
        <v>0.14285714285714285</v>
      </c>
    </row>
    <row r="44" spans="2:17" ht="18" customHeight="1" x14ac:dyDescent="0.35">
      <c r="B44" s="4" t="str">
        <f t="shared" si="11"/>
        <v>Dec 2025</v>
      </c>
      <c r="C44" s="4" t="s">
        <v>53</v>
      </c>
      <c r="D44" s="4" t="str">
        <f t="shared" si="12"/>
        <v>Dec 2025-WEST-26</v>
      </c>
      <c r="E44" s="67" t="str">
        <f>IFERROR(VLOOKUP(D44,WORKSHEET!$J$4:$AM$502,13,FALSE),"")</f>
        <v>Mercedes-Benz of Chandler</v>
      </c>
      <c r="F44" s="68">
        <f>IF($E44="","",VLOOKUP(D44,WORKSHEET!$J$4:$AM$502,14,FALSE))</f>
        <v>3</v>
      </c>
      <c r="G44" s="69">
        <f>IF($E44="","",VLOOKUP(D44,WORKSHEET!$J$4:$AM$502,15,FALSE))</f>
        <v>1</v>
      </c>
      <c r="H44" s="19">
        <f t="shared" si="13"/>
        <v>0.33333333333333331</v>
      </c>
      <c r="I44" s="68">
        <f>IF($E44="","",VLOOKUP(D44,WORKSHEET!$J$4:$AM$502,21,FALSE))</f>
        <v>2</v>
      </c>
      <c r="J44" s="19">
        <f t="shared" si="14"/>
        <v>0.66666666666666663</v>
      </c>
      <c r="K44" s="69">
        <f>IF($E44="","",VLOOKUP(D44,WORKSHEET!$J$4:$AM$502,23,FALSE))</f>
        <v>0</v>
      </c>
      <c r="L44" s="68">
        <f>IF($E44="","",VLOOKUP(D44,WORKSHEET!$J$4:$AM$502,24,FALSE))</f>
        <v>0</v>
      </c>
      <c r="M44" s="68">
        <f>IF($E44="","",VLOOKUP(D44,WORKSHEET!$J$4:$AM$502,25,FALSE))</f>
        <v>0</v>
      </c>
      <c r="N44" s="68">
        <f t="shared" si="15"/>
        <v>0</v>
      </c>
      <c r="O44" s="70">
        <f t="shared" si="16"/>
        <v>0</v>
      </c>
      <c r="P44" s="71">
        <f>IF($E44="","",VLOOKUP(D44,WORKSHEET!$J$4:$AM$502,27,FALSE)+VLOOKUP(D44,WORKSHEET!$J$4:$AM$502,28,FALSE)+VLOOKUP(D44,WORKSHEET!$J$4:$AM$502,29,FALSE))</f>
        <v>1</v>
      </c>
      <c r="Q44" s="70">
        <f t="shared" si="17"/>
        <v>0.33333333333333331</v>
      </c>
    </row>
    <row r="45" spans="2:17" ht="18" customHeight="1" x14ac:dyDescent="0.35">
      <c r="B45" s="4" t="str">
        <f t="shared" si="11"/>
        <v>Dec 2025</v>
      </c>
      <c r="C45" s="4" t="s">
        <v>54</v>
      </c>
      <c r="D45" s="4" t="str">
        <f t="shared" si="12"/>
        <v>Dec 2025-WEST-27</v>
      </c>
      <c r="E45" s="67" t="str">
        <f>IFERROR(VLOOKUP(D45,WORKSHEET!$J$4:$AM$502,13,FALSE),"")</f>
        <v>Round Rock Toyota</v>
      </c>
      <c r="F45" s="68">
        <f>IF($E45="","",VLOOKUP(D45,WORKSHEET!$J$4:$AM$502,14,FALSE))</f>
        <v>3</v>
      </c>
      <c r="G45" s="69">
        <f>IF($E45="","",VLOOKUP(D45,WORKSHEET!$J$4:$AM$502,15,FALSE))</f>
        <v>1</v>
      </c>
      <c r="H45" s="19">
        <f t="shared" si="13"/>
        <v>0.33333333333333331</v>
      </c>
      <c r="I45" s="68">
        <f>IF($E45="","",VLOOKUP(D45,WORKSHEET!$J$4:$AM$502,21,FALSE))</f>
        <v>3</v>
      </c>
      <c r="J45" s="19">
        <f t="shared" si="14"/>
        <v>1</v>
      </c>
      <c r="K45" s="69">
        <f>IF($E45="","",VLOOKUP(D45,WORKSHEET!$J$4:$AM$502,23,FALSE))</f>
        <v>0</v>
      </c>
      <c r="L45" s="68">
        <f>IF($E45="","",VLOOKUP(D45,WORKSHEET!$J$4:$AM$502,24,FALSE))</f>
        <v>0</v>
      </c>
      <c r="M45" s="68">
        <f>IF($E45="","",VLOOKUP(D45,WORKSHEET!$J$4:$AM$502,25,FALSE))</f>
        <v>0</v>
      </c>
      <c r="N45" s="68">
        <f t="shared" si="15"/>
        <v>0</v>
      </c>
      <c r="O45" s="70">
        <f t="shared" si="16"/>
        <v>0</v>
      </c>
      <c r="P45" s="71">
        <f>IF($E45="","",VLOOKUP(D45,WORKSHEET!$J$4:$AM$502,27,FALSE)+VLOOKUP(D45,WORKSHEET!$J$4:$AM$502,28,FALSE)+VLOOKUP(D45,WORKSHEET!$J$4:$AM$502,29,FALSE))</f>
        <v>0</v>
      </c>
      <c r="Q45" s="70">
        <f t="shared" si="17"/>
        <v>0</v>
      </c>
    </row>
    <row r="46" spans="2:17" ht="18" customHeight="1" x14ac:dyDescent="0.35">
      <c r="B46" s="4" t="str">
        <f t="shared" si="11"/>
        <v>Dec 2025</v>
      </c>
      <c r="C46" s="4" t="s">
        <v>55</v>
      </c>
      <c r="D46" s="4" t="str">
        <f t="shared" si="12"/>
        <v>Dec 2025-WEST-28</v>
      </c>
      <c r="E46" s="67" t="str">
        <f>IFERROR(VLOOKUP(D46,WORKSHEET!$J$4:$AM$502,13,FALSE),"")</f>
        <v>Honda North</v>
      </c>
      <c r="F46" s="68">
        <f>IF($E46="","",VLOOKUP(D46,WORKSHEET!$J$4:$AM$502,14,FALSE))</f>
        <v>28</v>
      </c>
      <c r="G46" s="69">
        <f>IF($E46="","",VLOOKUP(D46,WORKSHEET!$J$4:$AM$502,15,FALSE))</f>
        <v>9</v>
      </c>
      <c r="H46" s="19">
        <f t="shared" si="13"/>
        <v>0.32142857142857145</v>
      </c>
      <c r="I46" s="68">
        <f>IF($E46="","",VLOOKUP(D46,WORKSHEET!$J$4:$AM$502,21,FALSE))</f>
        <v>21</v>
      </c>
      <c r="J46" s="19">
        <f t="shared" si="14"/>
        <v>0.75</v>
      </c>
      <c r="K46" s="69">
        <f>IF($E46="","",VLOOKUP(D46,WORKSHEET!$J$4:$AM$502,23,FALSE))</f>
        <v>0</v>
      </c>
      <c r="L46" s="68">
        <f>IF($E46="","",VLOOKUP(D46,WORKSHEET!$J$4:$AM$502,24,FALSE))</f>
        <v>0</v>
      </c>
      <c r="M46" s="68">
        <f>IF($E46="","",VLOOKUP(D46,WORKSHEET!$J$4:$AM$502,25,FALSE))</f>
        <v>0</v>
      </c>
      <c r="N46" s="68">
        <f t="shared" si="15"/>
        <v>0</v>
      </c>
      <c r="O46" s="70">
        <f t="shared" si="16"/>
        <v>0</v>
      </c>
      <c r="P46" s="71">
        <f>IF($E46="","",VLOOKUP(D46,WORKSHEET!$J$4:$AM$502,27,FALSE)+VLOOKUP(D46,WORKSHEET!$J$4:$AM$502,28,FALSE)+VLOOKUP(D46,WORKSHEET!$J$4:$AM$502,29,FALSE))</f>
        <v>7</v>
      </c>
      <c r="Q46" s="70">
        <f t="shared" si="17"/>
        <v>0.25</v>
      </c>
    </row>
    <row r="47" spans="2:17" ht="18" customHeight="1" x14ac:dyDescent="0.35">
      <c r="B47" s="4" t="str">
        <f t="shared" si="11"/>
        <v>Dec 2025</v>
      </c>
      <c r="C47" s="4" t="s">
        <v>56</v>
      </c>
      <c r="D47" s="4" t="str">
        <f t="shared" si="12"/>
        <v>Dec 2025-WEST-29</v>
      </c>
      <c r="E47" s="67" t="str">
        <f>IFERROR(VLOOKUP(D47,WORKSHEET!$J$4:$AM$502,13,FALSE),"")</f>
        <v>Audi North OC</v>
      </c>
      <c r="F47" s="68">
        <f>IF($E47="","",VLOOKUP(D47,WORKSHEET!$J$4:$AM$502,14,FALSE))</f>
        <v>16</v>
      </c>
      <c r="G47" s="69">
        <f>IF($E47="","",VLOOKUP(D47,WORKSHEET!$J$4:$AM$502,15,FALSE))</f>
        <v>5</v>
      </c>
      <c r="H47" s="19">
        <f t="shared" si="13"/>
        <v>0.3125</v>
      </c>
      <c r="I47" s="68">
        <f>IF($E47="","",VLOOKUP(D47,WORKSHEET!$J$4:$AM$502,21,FALSE))</f>
        <v>8</v>
      </c>
      <c r="J47" s="19">
        <f t="shared" si="14"/>
        <v>0.5</v>
      </c>
      <c r="K47" s="69">
        <f>IF($E47="","",VLOOKUP(D47,WORKSHEET!$J$4:$AM$502,23,FALSE))</f>
        <v>0</v>
      </c>
      <c r="L47" s="68">
        <f>IF($E47="","",VLOOKUP(D47,WORKSHEET!$J$4:$AM$502,24,FALSE))</f>
        <v>0</v>
      </c>
      <c r="M47" s="68">
        <f>IF($E47="","",VLOOKUP(D47,WORKSHEET!$J$4:$AM$502,25,FALSE))</f>
        <v>0</v>
      </c>
      <c r="N47" s="68">
        <f t="shared" si="15"/>
        <v>0</v>
      </c>
      <c r="O47" s="70">
        <f t="shared" si="16"/>
        <v>0</v>
      </c>
      <c r="P47" s="71">
        <f>IF($E47="","",VLOOKUP(D47,WORKSHEET!$J$4:$AM$502,27,FALSE)+VLOOKUP(D47,WORKSHEET!$J$4:$AM$502,28,FALSE)+VLOOKUP(D47,WORKSHEET!$J$4:$AM$502,29,FALSE))</f>
        <v>8</v>
      </c>
      <c r="Q47" s="70">
        <f t="shared" si="17"/>
        <v>0.5</v>
      </c>
    </row>
    <row r="48" spans="2:17" ht="18" customHeight="1" x14ac:dyDescent="0.35">
      <c r="B48" s="4" t="str">
        <f t="shared" si="11"/>
        <v>Dec 2025</v>
      </c>
      <c r="C48" s="4" t="s">
        <v>57</v>
      </c>
      <c r="D48" s="4" t="str">
        <f t="shared" si="12"/>
        <v>Dec 2025-WEST-30</v>
      </c>
      <c r="E48" s="67" t="str">
        <f>IFERROR(VLOOKUP(D48,WORKSHEET!$J$4:$AM$502,13,FALSE),"")</f>
        <v>Audi Escondido</v>
      </c>
      <c r="F48" s="68">
        <f>IF($E48="","",VLOOKUP(D48,WORKSHEET!$J$4:$AM$502,14,FALSE))</f>
        <v>10</v>
      </c>
      <c r="G48" s="69">
        <f>IF($E48="","",VLOOKUP(D48,WORKSHEET!$J$4:$AM$502,15,FALSE))</f>
        <v>3</v>
      </c>
      <c r="H48" s="19">
        <f t="shared" si="13"/>
        <v>0.3</v>
      </c>
      <c r="I48" s="68">
        <f>IF($E48="","",VLOOKUP(D48,WORKSHEET!$J$4:$AM$502,21,FALSE))</f>
        <v>8</v>
      </c>
      <c r="J48" s="19">
        <f t="shared" si="14"/>
        <v>0.8</v>
      </c>
      <c r="K48" s="69">
        <f>IF($E48="","",VLOOKUP(D48,WORKSHEET!$J$4:$AM$502,23,FALSE))</f>
        <v>0</v>
      </c>
      <c r="L48" s="68">
        <f>IF($E48="","",VLOOKUP(D48,WORKSHEET!$J$4:$AM$502,24,FALSE))</f>
        <v>0</v>
      </c>
      <c r="M48" s="68">
        <f>IF($E48="","",VLOOKUP(D48,WORKSHEET!$J$4:$AM$502,25,FALSE))</f>
        <v>1</v>
      </c>
      <c r="N48" s="68">
        <f t="shared" si="15"/>
        <v>1</v>
      </c>
      <c r="O48" s="70">
        <f t="shared" si="16"/>
        <v>0.1</v>
      </c>
      <c r="P48" s="71">
        <f>IF($E48="","",VLOOKUP(D48,WORKSHEET!$J$4:$AM$502,27,FALSE)+VLOOKUP(D48,WORKSHEET!$J$4:$AM$502,28,FALSE)+VLOOKUP(D48,WORKSHEET!$J$4:$AM$502,29,FALSE))</f>
        <v>1</v>
      </c>
      <c r="Q48" s="70">
        <f t="shared" si="17"/>
        <v>0.1</v>
      </c>
    </row>
    <row r="49" spans="2:17" ht="18" customHeight="1" x14ac:dyDescent="0.35">
      <c r="B49" s="4" t="str">
        <f t="shared" si="11"/>
        <v>Dec 2025</v>
      </c>
      <c r="C49" s="4" t="s">
        <v>58</v>
      </c>
      <c r="D49" s="4" t="str">
        <f t="shared" si="12"/>
        <v>Dec 2025-WEST-31</v>
      </c>
      <c r="E49" s="67" t="str">
        <f>IFERROR(VLOOKUP(D49,WORKSHEET!$J$4:$AM$502,13,FALSE),"")</f>
        <v>MINI of Marin</v>
      </c>
      <c r="F49" s="68">
        <f>IF($E49="","",VLOOKUP(D49,WORKSHEET!$J$4:$AM$502,14,FALSE))</f>
        <v>10</v>
      </c>
      <c r="G49" s="69">
        <f>IF($E49="","",VLOOKUP(D49,WORKSHEET!$J$4:$AM$502,15,FALSE))</f>
        <v>3</v>
      </c>
      <c r="H49" s="19">
        <f t="shared" si="13"/>
        <v>0.3</v>
      </c>
      <c r="I49" s="68">
        <f>IF($E49="","",VLOOKUP(D49,WORKSHEET!$J$4:$AM$502,21,FALSE))</f>
        <v>5</v>
      </c>
      <c r="J49" s="19">
        <f t="shared" si="14"/>
        <v>0.5</v>
      </c>
      <c r="K49" s="69">
        <f>IF($E49="","",VLOOKUP(D49,WORKSHEET!$J$4:$AM$502,23,FALSE))</f>
        <v>3</v>
      </c>
      <c r="L49" s="68">
        <f>IF($E49="","",VLOOKUP(D49,WORKSHEET!$J$4:$AM$502,24,FALSE))</f>
        <v>0</v>
      </c>
      <c r="M49" s="68">
        <f>IF($E49="","",VLOOKUP(D49,WORKSHEET!$J$4:$AM$502,25,FALSE))</f>
        <v>0</v>
      </c>
      <c r="N49" s="68">
        <f t="shared" si="15"/>
        <v>3</v>
      </c>
      <c r="O49" s="70">
        <f t="shared" si="16"/>
        <v>0.3</v>
      </c>
      <c r="P49" s="71">
        <f>IF($E49="","",VLOOKUP(D49,WORKSHEET!$J$4:$AM$502,27,FALSE)+VLOOKUP(D49,WORKSHEET!$J$4:$AM$502,28,FALSE)+VLOOKUP(D49,WORKSHEET!$J$4:$AM$502,29,FALSE))</f>
        <v>2</v>
      </c>
      <c r="Q49" s="70">
        <f t="shared" si="17"/>
        <v>0.2</v>
      </c>
    </row>
    <row r="50" spans="2:17" ht="18" customHeight="1" x14ac:dyDescent="0.35">
      <c r="B50" s="4" t="str">
        <f t="shared" si="11"/>
        <v>Dec 2025</v>
      </c>
      <c r="C50" s="4" t="s">
        <v>59</v>
      </c>
      <c r="D50" s="4" t="str">
        <f t="shared" si="12"/>
        <v>Dec 2025-WEST-32</v>
      </c>
      <c r="E50" s="67" t="str">
        <f>IFERROR(VLOOKUP(D50,WORKSHEET!$J$4:$AM$502,13,FALSE),"")</f>
        <v>Audi Chandler</v>
      </c>
      <c r="F50" s="68">
        <f>IF($E50="","",VLOOKUP(D50,WORKSHEET!$J$4:$AM$502,14,FALSE))</f>
        <v>7</v>
      </c>
      <c r="G50" s="69">
        <f>IF($E50="","",VLOOKUP(D50,WORKSHEET!$J$4:$AM$502,15,FALSE))</f>
        <v>2</v>
      </c>
      <c r="H50" s="19">
        <f t="shared" si="13"/>
        <v>0.2857142857142857</v>
      </c>
      <c r="I50" s="68">
        <f>IF($E50="","",VLOOKUP(D50,WORKSHEET!$J$4:$AM$502,21,FALSE))</f>
        <v>4</v>
      </c>
      <c r="J50" s="19">
        <f t="shared" si="14"/>
        <v>0.5714285714285714</v>
      </c>
      <c r="K50" s="69">
        <f>IF($E50="","",VLOOKUP(D50,WORKSHEET!$J$4:$AM$502,23,FALSE))</f>
        <v>0</v>
      </c>
      <c r="L50" s="68">
        <f>IF($E50="","",VLOOKUP(D50,WORKSHEET!$J$4:$AM$502,24,FALSE))</f>
        <v>0</v>
      </c>
      <c r="M50" s="68">
        <f>IF($E50="","",VLOOKUP(D50,WORKSHEET!$J$4:$AM$502,25,FALSE))</f>
        <v>0</v>
      </c>
      <c r="N50" s="68">
        <f t="shared" si="15"/>
        <v>0</v>
      </c>
      <c r="O50" s="70">
        <f t="shared" si="16"/>
        <v>0</v>
      </c>
      <c r="P50" s="71">
        <f>IF($E50="","",VLOOKUP(D50,WORKSHEET!$J$4:$AM$502,27,FALSE)+VLOOKUP(D50,WORKSHEET!$J$4:$AM$502,28,FALSE)+VLOOKUP(D50,WORKSHEET!$J$4:$AM$502,29,FALSE))</f>
        <v>3</v>
      </c>
      <c r="Q50" s="70">
        <f t="shared" si="17"/>
        <v>0.42857142857142855</v>
      </c>
    </row>
    <row r="51" spans="2:17" ht="18" customHeight="1" x14ac:dyDescent="0.35">
      <c r="B51" s="4" t="str">
        <f t="shared" si="11"/>
        <v>Dec 2025</v>
      </c>
      <c r="C51" s="4" t="s">
        <v>60</v>
      </c>
      <c r="D51" s="4" t="str">
        <f t="shared" si="12"/>
        <v>Dec 2025-WEST-33</v>
      </c>
      <c r="E51" s="67" t="str">
        <f>IFERROR(VLOOKUP(D51,WORKSHEET!$J$4:$AM$502,13,FALSE),"")</f>
        <v>MINI of Austin</v>
      </c>
      <c r="F51" s="68">
        <f>IF($E51="","",VLOOKUP(D51,WORKSHEET!$J$4:$AM$502,14,FALSE))</f>
        <v>7</v>
      </c>
      <c r="G51" s="69">
        <f>IF($E51="","",VLOOKUP(D51,WORKSHEET!$J$4:$AM$502,15,FALSE))</f>
        <v>2</v>
      </c>
      <c r="H51" s="19">
        <f t="shared" si="13"/>
        <v>0.2857142857142857</v>
      </c>
      <c r="I51" s="68">
        <f>IF($E51="","",VLOOKUP(D51,WORKSHEET!$J$4:$AM$502,21,FALSE))</f>
        <v>5</v>
      </c>
      <c r="J51" s="19">
        <f t="shared" si="14"/>
        <v>0.7142857142857143</v>
      </c>
      <c r="K51" s="69">
        <f>IF($E51="","",VLOOKUP(D51,WORKSHEET!$J$4:$AM$502,23,FALSE))</f>
        <v>0</v>
      </c>
      <c r="L51" s="68">
        <f>IF($E51="","",VLOOKUP(D51,WORKSHEET!$J$4:$AM$502,24,FALSE))</f>
        <v>0</v>
      </c>
      <c r="M51" s="68">
        <f>IF($E51="","",VLOOKUP(D51,WORKSHEET!$J$4:$AM$502,25,FALSE))</f>
        <v>0</v>
      </c>
      <c r="N51" s="68">
        <f t="shared" si="15"/>
        <v>0</v>
      </c>
      <c r="O51" s="70">
        <f t="shared" si="16"/>
        <v>0</v>
      </c>
      <c r="P51" s="71">
        <f>IF($E51="","",VLOOKUP(D51,WORKSHEET!$J$4:$AM$502,27,FALSE)+VLOOKUP(D51,WORKSHEET!$J$4:$AM$502,28,FALSE)+VLOOKUP(D51,WORKSHEET!$J$4:$AM$502,29,FALSE))</f>
        <v>2</v>
      </c>
      <c r="Q51" s="70">
        <f t="shared" si="17"/>
        <v>0.2857142857142857</v>
      </c>
    </row>
    <row r="52" spans="2:17" ht="18" customHeight="1" x14ac:dyDescent="0.35">
      <c r="B52" s="4" t="str">
        <f t="shared" si="11"/>
        <v>Dec 2025</v>
      </c>
      <c r="C52" s="4" t="s">
        <v>61</v>
      </c>
      <c r="D52" s="4" t="str">
        <f t="shared" si="12"/>
        <v>Dec 2025-WEST-34</v>
      </c>
      <c r="E52" s="67" t="str">
        <f>IFERROR(VLOOKUP(D52,WORKSHEET!$J$4:$AM$502,13,FALSE),"")</f>
        <v>Round Rock Honda</v>
      </c>
      <c r="F52" s="68">
        <f>IF($E52="","",VLOOKUP(D52,WORKSHEET!$J$4:$AM$502,14,FALSE))</f>
        <v>27</v>
      </c>
      <c r="G52" s="69">
        <f>IF($E52="","",VLOOKUP(D52,WORKSHEET!$J$4:$AM$502,15,FALSE))</f>
        <v>7</v>
      </c>
      <c r="H52" s="19">
        <f t="shared" si="13"/>
        <v>0.25925925925925924</v>
      </c>
      <c r="I52" s="68">
        <f>IF($E52="","",VLOOKUP(D52,WORKSHEET!$J$4:$AM$502,21,FALSE))</f>
        <v>19</v>
      </c>
      <c r="J52" s="19">
        <f t="shared" si="14"/>
        <v>0.70370370370370372</v>
      </c>
      <c r="K52" s="69">
        <f>IF($E52="","",VLOOKUP(D52,WORKSHEET!$J$4:$AM$502,23,FALSE))</f>
        <v>0</v>
      </c>
      <c r="L52" s="68">
        <f>IF($E52="","",VLOOKUP(D52,WORKSHEET!$J$4:$AM$502,24,FALSE))</f>
        <v>0</v>
      </c>
      <c r="M52" s="68">
        <f>IF($E52="","",VLOOKUP(D52,WORKSHEET!$J$4:$AM$502,25,FALSE))</f>
        <v>0</v>
      </c>
      <c r="N52" s="68">
        <f t="shared" si="15"/>
        <v>0</v>
      </c>
      <c r="O52" s="70">
        <f t="shared" si="16"/>
        <v>0</v>
      </c>
      <c r="P52" s="71">
        <f>IF($E52="","",VLOOKUP(D52,WORKSHEET!$J$4:$AM$502,27,FALSE)+VLOOKUP(D52,WORKSHEET!$J$4:$AM$502,28,FALSE)+VLOOKUP(D52,WORKSHEET!$J$4:$AM$502,29,FALSE))</f>
        <v>8</v>
      </c>
      <c r="Q52" s="70">
        <f t="shared" si="17"/>
        <v>0.29629629629629628</v>
      </c>
    </row>
    <row r="53" spans="2:17" ht="18" customHeight="1" x14ac:dyDescent="0.35">
      <c r="B53" s="4" t="str">
        <f t="shared" si="11"/>
        <v>Dec 2025</v>
      </c>
      <c r="C53" s="4" t="s">
        <v>62</v>
      </c>
      <c r="D53" s="4" t="str">
        <f t="shared" si="12"/>
        <v>Dec 2025-WEST-35</v>
      </c>
      <c r="E53" s="67" t="str">
        <f>IFERROR(VLOOKUP(D53,WORKSHEET!$J$4:$AM$502,13,FALSE),"")</f>
        <v>Audi South Coast</v>
      </c>
      <c r="F53" s="68">
        <f>IF($E53="","",VLOOKUP(D53,WORKSHEET!$J$4:$AM$502,14,FALSE))</f>
        <v>51</v>
      </c>
      <c r="G53" s="69">
        <f>IF($E53="","",VLOOKUP(D53,WORKSHEET!$J$4:$AM$502,15,FALSE))</f>
        <v>12</v>
      </c>
      <c r="H53" s="19">
        <f t="shared" si="13"/>
        <v>0.23529411764705882</v>
      </c>
      <c r="I53" s="68">
        <f>IF($E53="","",VLOOKUP(D53,WORKSHEET!$J$4:$AM$502,21,FALSE))</f>
        <v>26</v>
      </c>
      <c r="J53" s="19">
        <f t="shared" si="14"/>
        <v>0.50980392156862742</v>
      </c>
      <c r="K53" s="69">
        <f>IF($E53="","",VLOOKUP(D53,WORKSHEET!$J$4:$AM$502,23,FALSE))</f>
        <v>0</v>
      </c>
      <c r="L53" s="68">
        <f>IF($E53="","",VLOOKUP(D53,WORKSHEET!$J$4:$AM$502,24,FALSE))</f>
        <v>0</v>
      </c>
      <c r="M53" s="68">
        <f>IF($E53="","",VLOOKUP(D53,WORKSHEET!$J$4:$AM$502,25,FALSE))</f>
        <v>0</v>
      </c>
      <c r="N53" s="68">
        <f t="shared" si="15"/>
        <v>0</v>
      </c>
      <c r="O53" s="70">
        <f t="shared" si="16"/>
        <v>0</v>
      </c>
      <c r="P53" s="71">
        <f>IF($E53="","",VLOOKUP(D53,WORKSHEET!$J$4:$AM$502,27,FALSE)+VLOOKUP(D53,WORKSHEET!$J$4:$AM$502,28,FALSE)+VLOOKUP(D53,WORKSHEET!$J$4:$AM$502,29,FALSE))</f>
        <v>25</v>
      </c>
      <c r="Q53" s="70">
        <f t="shared" si="17"/>
        <v>0.49019607843137253</v>
      </c>
    </row>
    <row r="54" spans="2:17" ht="18" customHeight="1" x14ac:dyDescent="0.35">
      <c r="B54" s="4" t="str">
        <f t="shared" si="11"/>
        <v>Dec 2025</v>
      </c>
      <c r="C54" s="4" t="s">
        <v>63</v>
      </c>
      <c r="D54" s="4" t="str">
        <f t="shared" si="12"/>
        <v>Dec 2025-WEST-36</v>
      </c>
      <c r="E54" s="67" t="str">
        <f>IFERROR(VLOOKUP(D54,WORKSHEET!$J$4:$AM$502,13,FALSE),"")</f>
        <v>Capitol Honda</v>
      </c>
      <c r="F54" s="68">
        <f>IF($E54="","",VLOOKUP(D54,WORKSHEET!$J$4:$AM$502,14,FALSE))</f>
        <v>21</v>
      </c>
      <c r="G54" s="69">
        <f>IF($E54="","",VLOOKUP(D54,WORKSHEET!$J$4:$AM$502,15,FALSE))</f>
        <v>5</v>
      </c>
      <c r="H54" s="19">
        <f t="shared" si="13"/>
        <v>0.23809523809523808</v>
      </c>
      <c r="I54" s="68">
        <f>IF($E54="","",VLOOKUP(D54,WORKSHEET!$J$4:$AM$502,21,FALSE))</f>
        <v>19</v>
      </c>
      <c r="J54" s="19">
        <f t="shared" si="14"/>
        <v>0.90476190476190477</v>
      </c>
      <c r="K54" s="69">
        <f>IF($E54="","",VLOOKUP(D54,WORKSHEET!$J$4:$AM$502,23,FALSE))</f>
        <v>2</v>
      </c>
      <c r="L54" s="68">
        <f>IF($E54="","",VLOOKUP(D54,WORKSHEET!$J$4:$AM$502,24,FALSE))</f>
        <v>0</v>
      </c>
      <c r="M54" s="68">
        <f>IF($E54="","",VLOOKUP(D54,WORKSHEET!$J$4:$AM$502,25,FALSE))</f>
        <v>0</v>
      </c>
      <c r="N54" s="68">
        <f t="shared" si="15"/>
        <v>2</v>
      </c>
      <c r="O54" s="70">
        <f t="shared" si="16"/>
        <v>9.5238095238095233E-2</v>
      </c>
      <c r="P54" s="71">
        <f>IF($E54="","",VLOOKUP(D54,WORKSHEET!$J$4:$AM$502,27,FALSE)+VLOOKUP(D54,WORKSHEET!$J$4:$AM$502,28,FALSE)+VLOOKUP(D54,WORKSHEET!$J$4:$AM$502,29,FALSE))</f>
        <v>0</v>
      </c>
      <c r="Q54" s="70">
        <f t="shared" si="17"/>
        <v>0</v>
      </c>
    </row>
    <row r="55" spans="2:17" ht="18" customHeight="1" x14ac:dyDescent="0.35">
      <c r="B55" s="4" t="str">
        <f t="shared" si="11"/>
        <v>Dec 2025</v>
      </c>
      <c r="C55" s="4" t="s">
        <v>64</v>
      </c>
      <c r="D55" s="4" t="str">
        <f t="shared" si="12"/>
        <v>Dec 2025-WEST-37</v>
      </c>
      <c r="E55" s="67" t="str">
        <f>IFERROR(VLOOKUP(D55,WORKSHEET!$J$4:$AM$502,13,FALSE),"")</f>
        <v>Mazda of Escondido</v>
      </c>
      <c r="F55" s="68">
        <f>IF($E55="","",VLOOKUP(D55,WORKSHEET!$J$4:$AM$502,14,FALSE))</f>
        <v>17</v>
      </c>
      <c r="G55" s="69">
        <f>IF($E55="","",VLOOKUP(D55,WORKSHEET!$J$4:$AM$502,15,FALSE))</f>
        <v>4</v>
      </c>
      <c r="H55" s="19">
        <f t="shared" si="13"/>
        <v>0.23529411764705882</v>
      </c>
      <c r="I55" s="68">
        <f>IF($E55="","",VLOOKUP(D55,WORKSHEET!$J$4:$AM$502,21,FALSE))</f>
        <v>12</v>
      </c>
      <c r="J55" s="19">
        <f t="shared" si="14"/>
        <v>0.70588235294117652</v>
      </c>
      <c r="K55" s="69">
        <f>IF($E55="","",VLOOKUP(D55,WORKSHEET!$J$4:$AM$502,23,FALSE))</f>
        <v>0</v>
      </c>
      <c r="L55" s="68">
        <f>IF($E55="","",VLOOKUP(D55,WORKSHEET!$J$4:$AM$502,24,FALSE))</f>
        <v>0</v>
      </c>
      <c r="M55" s="68">
        <f>IF($E55="","",VLOOKUP(D55,WORKSHEET!$J$4:$AM$502,25,FALSE))</f>
        <v>0</v>
      </c>
      <c r="N55" s="68">
        <f t="shared" si="15"/>
        <v>0</v>
      </c>
      <c r="O55" s="70">
        <f t="shared" si="16"/>
        <v>0</v>
      </c>
      <c r="P55" s="71">
        <f>IF($E55="","",VLOOKUP(D55,WORKSHEET!$J$4:$AM$502,27,FALSE)+VLOOKUP(D55,WORKSHEET!$J$4:$AM$502,28,FALSE)+VLOOKUP(D55,WORKSHEET!$J$4:$AM$502,29,FALSE))</f>
        <v>5</v>
      </c>
      <c r="Q55" s="70">
        <f t="shared" si="17"/>
        <v>0.29411764705882354</v>
      </c>
    </row>
    <row r="56" spans="2:17" ht="18" customHeight="1" x14ac:dyDescent="0.35">
      <c r="B56" s="4" t="str">
        <f t="shared" si="11"/>
        <v>Dec 2025</v>
      </c>
      <c r="C56" s="4" t="s">
        <v>65</v>
      </c>
      <c r="D56" s="4" t="str">
        <f t="shared" si="12"/>
        <v>Dec 2025-WEST-38</v>
      </c>
      <c r="E56" s="67" t="str">
        <f>IFERROR(VLOOKUP(D56,WORKSHEET!$J$4:$AM$502,13,FALSE),"")</f>
        <v>Tempe Honda</v>
      </c>
      <c r="F56" s="68">
        <f>IF($E56="","",VLOOKUP(D56,WORKSHEET!$J$4:$AM$502,14,FALSE))</f>
        <v>22</v>
      </c>
      <c r="G56" s="69">
        <f>IF($E56="","",VLOOKUP(D56,WORKSHEET!$J$4:$AM$502,15,FALSE))</f>
        <v>5</v>
      </c>
      <c r="H56" s="19">
        <f t="shared" si="13"/>
        <v>0.22727272727272727</v>
      </c>
      <c r="I56" s="68">
        <f>IF($E56="","",VLOOKUP(D56,WORKSHEET!$J$4:$AM$502,21,FALSE))</f>
        <v>11</v>
      </c>
      <c r="J56" s="19">
        <f t="shared" si="14"/>
        <v>0.5</v>
      </c>
      <c r="K56" s="69">
        <f>IF($E56="","",VLOOKUP(D56,WORKSHEET!$J$4:$AM$502,23,FALSE))</f>
        <v>0</v>
      </c>
      <c r="L56" s="68">
        <f>IF($E56="","",VLOOKUP(D56,WORKSHEET!$J$4:$AM$502,24,FALSE))</f>
        <v>1</v>
      </c>
      <c r="M56" s="68">
        <f>IF($E56="","",VLOOKUP(D56,WORKSHEET!$J$4:$AM$502,25,FALSE))</f>
        <v>4</v>
      </c>
      <c r="N56" s="68">
        <f t="shared" si="15"/>
        <v>5</v>
      </c>
      <c r="O56" s="70">
        <f t="shared" si="16"/>
        <v>0.22727272727272727</v>
      </c>
      <c r="P56" s="71">
        <f>IF($E56="","",VLOOKUP(D56,WORKSHEET!$J$4:$AM$502,27,FALSE)+VLOOKUP(D56,WORKSHEET!$J$4:$AM$502,28,FALSE)+VLOOKUP(D56,WORKSHEET!$J$4:$AM$502,29,FALSE))</f>
        <v>6</v>
      </c>
      <c r="Q56" s="70">
        <f t="shared" si="17"/>
        <v>0.27272727272727271</v>
      </c>
    </row>
    <row r="57" spans="2:17" ht="18" customHeight="1" x14ac:dyDescent="0.35">
      <c r="B57" s="4" t="str">
        <f t="shared" si="11"/>
        <v>Dec 2025</v>
      </c>
      <c r="C57" s="4" t="s">
        <v>66</v>
      </c>
      <c r="D57" s="4" t="str">
        <f t="shared" si="12"/>
        <v>Dec 2025-WEST-39</v>
      </c>
      <c r="E57" s="67" t="str">
        <f>IFERROR(VLOOKUP(D57,WORKSHEET!$J$4:$AM$502,13,FALSE),"")</f>
        <v>Audi San Jose</v>
      </c>
      <c r="F57" s="68">
        <f>IF($E57="","",VLOOKUP(D57,WORKSHEET!$J$4:$AM$502,14,FALSE))</f>
        <v>53</v>
      </c>
      <c r="G57" s="69">
        <f>IF($E57="","",VLOOKUP(D57,WORKSHEET!$J$4:$AM$502,15,FALSE))</f>
        <v>11</v>
      </c>
      <c r="H57" s="19">
        <f t="shared" si="13"/>
        <v>0.20754716981132076</v>
      </c>
      <c r="I57" s="68">
        <f>IF($E57="","",VLOOKUP(D57,WORKSHEET!$J$4:$AM$502,21,FALSE))</f>
        <v>25</v>
      </c>
      <c r="J57" s="19">
        <f t="shared" si="14"/>
        <v>0.47169811320754718</v>
      </c>
      <c r="K57" s="69">
        <f>IF($E57="","",VLOOKUP(D57,WORKSHEET!$J$4:$AM$502,23,FALSE))</f>
        <v>0</v>
      </c>
      <c r="L57" s="68">
        <f>IF($E57="","",VLOOKUP(D57,WORKSHEET!$J$4:$AM$502,24,FALSE))</f>
        <v>0</v>
      </c>
      <c r="M57" s="68">
        <f>IF($E57="","",VLOOKUP(D57,WORKSHEET!$J$4:$AM$502,25,FALSE))</f>
        <v>0</v>
      </c>
      <c r="N57" s="68">
        <f t="shared" si="15"/>
        <v>0</v>
      </c>
      <c r="O57" s="70">
        <f t="shared" si="16"/>
        <v>0</v>
      </c>
      <c r="P57" s="71">
        <f>IF($E57="","",VLOOKUP(D57,WORKSHEET!$J$4:$AM$502,27,FALSE)+VLOOKUP(D57,WORKSHEET!$J$4:$AM$502,28,FALSE)+VLOOKUP(D57,WORKSHEET!$J$4:$AM$502,29,FALSE))</f>
        <v>28</v>
      </c>
      <c r="Q57" s="70">
        <f t="shared" si="17"/>
        <v>0.52830188679245282</v>
      </c>
    </row>
    <row r="58" spans="2:17" ht="18" customHeight="1" x14ac:dyDescent="0.35">
      <c r="B58" s="4" t="str">
        <f t="shared" si="11"/>
        <v>Dec 2025</v>
      </c>
      <c r="C58" s="4" t="s">
        <v>67</v>
      </c>
      <c r="D58" s="4" t="str">
        <f t="shared" si="12"/>
        <v>Dec 2025-WEST-40</v>
      </c>
      <c r="E58" s="67" t="str">
        <f>IFERROR(VLOOKUP(D58,WORKSHEET!$J$4:$AM$502,13,FALSE),"")</f>
        <v>Audi North Scottsdale</v>
      </c>
      <c r="F58" s="68">
        <f>IF($E58="","",VLOOKUP(D58,WORKSHEET!$J$4:$AM$502,14,FALSE))</f>
        <v>20</v>
      </c>
      <c r="G58" s="69">
        <f>IF($E58="","",VLOOKUP(D58,WORKSHEET!$J$4:$AM$502,15,FALSE))</f>
        <v>4</v>
      </c>
      <c r="H58" s="19">
        <f t="shared" si="13"/>
        <v>0.2</v>
      </c>
      <c r="I58" s="68">
        <f>IF($E58="","",VLOOKUP(D58,WORKSHEET!$J$4:$AM$502,21,FALSE))</f>
        <v>8</v>
      </c>
      <c r="J58" s="19">
        <f t="shared" si="14"/>
        <v>0.4</v>
      </c>
      <c r="K58" s="69">
        <f>IF($E58="","",VLOOKUP(D58,WORKSHEET!$J$4:$AM$502,23,FALSE))</f>
        <v>6</v>
      </c>
      <c r="L58" s="68">
        <f>IF($E58="","",VLOOKUP(D58,WORKSHEET!$J$4:$AM$502,24,FALSE))</f>
        <v>1</v>
      </c>
      <c r="M58" s="68">
        <f>IF($E58="","",VLOOKUP(D58,WORKSHEET!$J$4:$AM$502,25,FALSE))</f>
        <v>0</v>
      </c>
      <c r="N58" s="68">
        <f t="shared" si="15"/>
        <v>7</v>
      </c>
      <c r="O58" s="70">
        <f t="shared" si="16"/>
        <v>0.35</v>
      </c>
      <c r="P58" s="71">
        <f>IF($E58="","",VLOOKUP(D58,WORKSHEET!$J$4:$AM$502,27,FALSE)+VLOOKUP(D58,WORKSHEET!$J$4:$AM$502,28,FALSE)+VLOOKUP(D58,WORKSHEET!$J$4:$AM$502,29,FALSE))</f>
        <v>5</v>
      </c>
      <c r="Q58" s="70">
        <f t="shared" si="17"/>
        <v>0.25</v>
      </c>
    </row>
    <row r="59" spans="2:17" ht="18" customHeight="1" x14ac:dyDescent="0.35">
      <c r="B59" s="4" t="str">
        <f t="shared" si="11"/>
        <v>Dec 2025</v>
      </c>
      <c r="C59" s="4" t="s">
        <v>68</v>
      </c>
      <c r="D59" s="4" t="str">
        <f t="shared" si="12"/>
        <v>Dec 2025-WEST-41</v>
      </c>
      <c r="E59" s="67" t="str">
        <f>IFERROR(VLOOKUP(D59,WORKSHEET!$J$4:$AM$502,13,FALSE),"")</f>
        <v>Kearny Mesa Toyota</v>
      </c>
      <c r="F59" s="68">
        <f>IF($E59="","",VLOOKUP(D59,WORKSHEET!$J$4:$AM$502,14,FALSE))</f>
        <v>10</v>
      </c>
      <c r="G59" s="69">
        <f>IF($E59="","",VLOOKUP(D59,WORKSHEET!$J$4:$AM$502,15,FALSE))</f>
        <v>2</v>
      </c>
      <c r="H59" s="19">
        <f t="shared" si="13"/>
        <v>0.2</v>
      </c>
      <c r="I59" s="68">
        <f>IF($E59="","",VLOOKUP(D59,WORKSHEET!$J$4:$AM$502,21,FALSE))</f>
        <v>7</v>
      </c>
      <c r="J59" s="19">
        <f t="shared" si="14"/>
        <v>0.7</v>
      </c>
      <c r="K59" s="69">
        <f>IF($E59="","",VLOOKUP(D59,WORKSHEET!$J$4:$AM$502,23,FALSE))</f>
        <v>2</v>
      </c>
      <c r="L59" s="68">
        <f>IF($E59="","",VLOOKUP(D59,WORKSHEET!$J$4:$AM$502,24,FALSE))</f>
        <v>0</v>
      </c>
      <c r="M59" s="68">
        <f>IF($E59="","",VLOOKUP(D59,WORKSHEET!$J$4:$AM$502,25,FALSE))</f>
        <v>0</v>
      </c>
      <c r="N59" s="68">
        <f t="shared" si="15"/>
        <v>2</v>
      </c>
      <c r="O59" s="70">
        <f t="shared" si="16"/>
        <v>0.2</v>
      </c>
      <c r="P59" s="71">
        <f>IF($E59="","",VLOOKUP(D59,WORKSHEET!$J$4:$AM$502,27,FALSE)+VLOOKUP(D59,WORKSHEET!$J$4:$AM$502,28,FALSE)+VLOOKUP(D59,WORKSHEET!$J$4:$AM$502,29,FALSE))</f>
        <v>1</v>
      </c>
      <c r="Q59" s="70">
        <f t="shared" si="17"/>
        <v>0.1</v>
      </c>
    </row>
    <row r="60" spans="2:17" ht="18" customHeight="1" x14ac:dyDescent="0.35">
      <c r="B60" s="4" t="str">
        <f t="shared" si="11"/>
        <v>Dec 2025</v>
      </c>
      <c r="C60" s="4" t="s">
        <v>69</v>
      </c>
      <c r="D60" s="4" t="str">
        <f t="shared" si="12"/>
        <v>Dec 2025-WEST-42</v>
      </c>
      <c r="E60" s="67" t="str">
        <f>IFERROR(VLOOKUP(D60,WORKSHEET!$J$4:$AM$502,13,FALSE),"")</f>
        <v>Round Rock Hyundai</v>
      </c>
      <c r="F60" s="68">
        <f>IF($E60="","",VLOOKUP(D60,WORKSHEET!$J$4:$AM$502,14,FALSE))</f>
        <v>5</v>
      </c>
      <c r="G60" s="69">
        <f>IF($E60="","",VLOOKUP(D60,WORKSHEET!$J$4:$AM$502,15,FALSE))</f>
        <v>1</v>
      </c>
      <c r="H60" s="19">
        <f t="shared" si="13"/>
        <v>0.2</v>
      </c>
      <c r="I60" s="68">
        <f>IF($E60="","",VLOOKUP(D60,WORKSHEET!$J$4:$AM$502,21,FALSE))</f>
        <v>3</v>
      </c>
      <c r="J60" s="19">
        <f t="shared" si="14"/>
        <v>0.6</v>
      </c>
      <c r="K60" s="69">
        <f>IF($E60="","",VLOOKUP(D60,WORKSHEET!$J$4:$AM$502,23,FALSE))</f>
        <v>0</v>
      </c>
      <c r="L60" s="68">
        <f>IF($E60="","",VLOOKUP(D60,WORKSHEET!$J$4:$AM$502,24,FALSE))</f>
        <v>0</v>
      </c>
      <c r="M60" s="68">
        <f>IF($E60="","",VLOOKUP(D60,WORKSHEET!$J$4:$AM$502,25,FALSE))</f>
        <v>0</v>
      </c>
      <c r="N60" s="68">
        <f t="shared" si="15"/>
        <v>0</v>
      </c>
      <c r="O60" s="70">
        <f t="shared" si="16"/>
        <v>0</v>
      </c>
      <c r="P60" s="71">
        <f>IF($E60="","",VLOOKUP(D60,WORKSHEET!$J$4:$AM$502,27,FALSE)+VLOOKUP(D60,WORKSHEET!$J$4:$AM$502,28,FALSE)+VLOOKUP(D60,WORKSHEET!$J$4:$AM$502,29,FALSE))</f>
        <v>2</v>
      </c>
      <c r="Q60" s="70">
        <f t="shared" si="17"/>
        <v>0.4</v>
      </c>
    </row>
    <row r="61" spans="2:17" ht="18" customHeight="1" x14ac:dyDescent="0.35">
      <c r="B61" s="4" t="str">
        <f t="shared" si="11"/>
        <v>Dec 2025</v>
      </c>
      <c r="C61" s="4" t="s">
        <v>70</v>
      </c>
      <c r="D61" s="4" t="str">
        <f t="shared" si="12"/>
        <v>Dec 2025-WEST-43</v>
      </c>
      <c r="E61" s="67" t="str">
        <f>IFERROR(VLOOKUP(D61,WORKSHEET!$J$4:$AM$502,13,FALSE),"")</f>
        <v>Subaru Orange Coast</v>
      </c>
      <c r="F61" s="68">
        <f>IF($E61="","",VLOOKUP(D61,WORKSHEET!$J$4:$AM$502,14,FALSE))</f>
        <v>16</v>
      </c>
      <c r="G61" s="69">
        <f>IF($E61="","",VLOOKUP(D61,WORKSHEET!$J$4:$AM$502,15,FALSE))</f>
        <v>3</v>
      </c>
      <c r="H61" s="19">
        <f t="shared" si="13"/>
        <v>0.1875</v>
      </c>
      <c r="I61" s="68">
        <f>IF($E61="","",VLOOKUP(D61,WORKSHEET!$J$4:$AM$502,21,FALSE))</f>
        <v>12</v>
      </c>
      <c r="J61" s="19">
        <f t="shared" si="14"/>
        <v>0.75</v>
      </c>
      <c r="K61" s="69">
        <f>IF($E61="","",VLOOKUP(D61,WORKSHEET!$J$4:$AM$502,23,FALSE))</f>
        <v>0</v>
      </c>
      <c r="L61" s="68">
        <f>IF($E61="","",VLOOKUP(D61,WORKSHEET!$J$4:$AM$502,24,FALSE))</f>
        <v>2</v>
      </c>
      <c r="M61" s="68">
        <f>IF($E61="","",VLOOKUP(D61,WORKSHEET!$J$4:$AM$502,25,FALSE))</f>
        <v>0</v>
      </c>
      <c r="N61" s="68">
        <f t="shared" si="15"/>
        <v>2</v>
      </c>
      <c r="O61" s="70">
        <f t="shared" si="16"/>
        <v>0.125</v>
      </c>
      <c r="P61" s="71">
        <f>IF($E61="","",VLOOKUP(D61,WORKSHEET!$J$4:$AM$502,27,FALSE)+VLOOKUP(D61,WORKSHEET!$J$4:$AM$502,28,FALSE)+VLOOKUP(D61,WORKSHEET!$J$4:$AM$502,29,FALSE))</f>
        <v>2</v>
      </c>
      <c r="Q61" s="70">
        <f t="shared" si="17"/>
        <v>0.125</v>
      </c>
    </row>
    <row r="62" spans="2:17" ht="18" customHeight="1" x14ac:dyDescent="0.35">
      <c r="B62" s="4" t="str">
        <f t="shared" si="11"/>
        <v>Dec 2025</v>
      </c>
      <c r="C62" s="4" t="s">
        <v>71</v>
      </c>
      <c r="D62" s="4" t="str">
        <f t="shared" si="12"/>
        <v>Dec 2025-WEST-44</v>
      </c>
      <c r="E62" s="67" t="str">
        <f>IFERROR(VLOOKUP(D62,WORKSHEET!$J$4:$AM$502,13,FALSE),"")</f>
        <v>Crevier MINI</v>
      </c>
      <c r="F62" s="68">
        <f>IF($E62="","",VLOOKUP(D62,WORKSHEET!$J$4:$AM$502,14,FALSE))</f>
        <v>11</v>
      </c>
      <c r="G62" s="69">
        <f>IF($E62="","",VLOOKUP(D62,WORKSHEET!$J$4:$AM$502,15,FALSE))</f>
        <v>2</v>
      </c>
      <c r="H62" s="19">
        <f t="shared" si="13"/>
        <v>0.18181818181818182</v>
      </c>
      <c r="I62" s="68">
        <f>IF($E62="","",VLOOKUP(D62,WORKSHEET!$J$4:$AM$502,21,FALSE))</f>
        <v>4</v>
      </c>
      <c r="J62" s="19">
        <f t="shared" si="14"/>
        <v>0.36363636363636365</v>
      </c>
      <c r="K62" s="69">
        <f>IF($E62="","",VLOOKUP(D62,WORKSHEET!$J$4:$AM$502,23,FALSE))</f>
        <v>0</v>
      </c>
      <c r="L62" s="68">
        <f>IF($E62="","",VLOOKUP(D62,WORKSHEET!$J$4:$AM$502,24,FALSE))</f>
        <v>0</v>
      </c>
      <c r="M62" s="68">
        <f>IF($E62="","",VLOOKUP(D62,WORKSHEET!$J$4:$AM$502,25,FALSE))</f>
        <v>0</v>
      </c>
      <c r="N62" s="68">
        <f t="shared" si="15"/>
        <v>0</v>
      </c>
      <c r="O62" s="70">
        <f t="shared" si="16"/>
        <v>0</v>
      </c>
      <c r="P62" s="71">
        <f>IF($E62="","",VLOOKUP(D62,WORKSHEET!$J$4:$AM$502,27,FALSE)+VLOOKUP(D62,WORKSHEET!$J$4:$AM$502,28,FALSE)+VLOOKUP(D62,WORKSHEET!$J$4:$AM$502,29,FALSE))</f>
        <v>7</v>
      </c>
      <c r="Q62" s="70">
        <f t="shared" si="17"/>
        <v>0.63636363636363635</v>
      </c>
    </row>
    <row r="63" spans="2:17" ht="18" customHeight="1" x14ac:dyDescent="0.35">
      <c r="B63" s="4" t="str">
        <f t="shared" si="11"/>
        <v>Dec 2025</v>
      </c>
      <c r="C63" s="4" t="s">
        <v>72</v>
      </c>
      <c r="D63" s="4" t="str">
        <f t="shared" si="12"/>
        <v>Dec 2025-WEST-45</v>
      </c>
      <c r="E63" s="67" t="str">
        <f>IFERROR(VLOOKUP(D63,WORKSHEET!$J$4:$AM$502,13,FALSE),"")</f>
        <v>East Madison Toyota</v>
      </c>
      <c r="F63" s="68">
        <f>IF($E63="","",VLOOKUP(D63,WORKSHEET!$J$4:$AM$502,14,FALSE))</f>
        <v>7</v>
      </c>
      <c r="G63" s="69">
        <f>IF($E63="","",VLOOKUP(D63,WORKSHEET!$J$4:$AM$502,15,FALSE))</f>
        <v>1</v>
      </c>
      <c r="H63" s="19">
        <f t="shared" si="13"/>
        <v>0.14285714285714285</v>
      </c>
      <c r="I63" s="68">
        <f>IF($E63="","",VLOOKUP(D63,WORKSHEET!$J$4:$AM$502,21,FALSE))</f>
        <v>2</v>
      </c>
      <c r="J63" s="19">
        <f t="shared" si="14"/>
        <v>0.2857142857142857</v>
      </c>
      <c r="K63" s="69">
        <f>IF($E63="","",VLOOKUP(D63,WORKSHEET!$J$4:$AM$502,23,FALSE))</f>
        <v>2</v>
      </c>
      <c r="L63" s="68">
        <f>IF($E63="","",VLOOKUP(D63,WORKSHEET!$J$4:$AM$502,24,FALSE))</f>
        <v>0</v>
      </c>
      <c r="M63" s="68">
        <f>IF($E63="","",VLOOKUP(D63,WORKSHEET!$J$4:$AM$502,25,FALSE))</f>
        <v>0</v>
      </c>
      <c r="N63" s="68">
        <f t="shared" si="15"/>
        <v>2</v>
      </c>
      <c r="O63" s="70">
        <f t="shared" si="16"/>
        <v>0.2857142857142857</v>
      </c>
      <c r="P63" s="71">
        <f>IF($E63="","",VLOOKUP(D63,WORKSHEET!$J$4:$AM$502,27,FALSE)+VLOOKUP(D63,WORKSHEET!$J$4:$AM$502,28,FALSE)+VLOOKUP(D63,WORKSHEET!$J$4:$AM$502,29,FALSE))</f>
        <v>3</v>
      </c>
      <c r="Q63" s="70">
        <f t="shared" si="17"/>
        <v>0.42857142857142855</v>
      </c>
    </row>
    <row r="64" spans="2:17" ht="18" customHeight="1" x14ac:dyDescent="0.35">
      <c r="B64" s="4" t="str">
        <f t="shared" si="11"/>
        <v>Dec 2025</v>
      </c>
      <c r="C64" s="4" t="s">
        <v>73</v>
      </c>
      <c r="D64" s="4" t="str">
        <f t="shared" si="12"/>
        <v>Dec 2025-WEST-46</v>
      </c>
      <c r="E64" s="67" t="str">
        <f>IFERROR(VLOOKUP(D64,WORKSHEET!$J$4:$AM$502,13,FALSE),"")</f>
        <v>Lincoln South Coast</v>
      </c>
      <c r="F64" s="68">
        <f>IF($E64="","",VLOOKUP(D64,WORKSHEET!$J$4:$AM$502,14,FALSE))</f>
        <v>7</v>
      </c>
      <c r="G64" s="69">
        <f>IF($E64="","",VLOOKUP(D64,WORKSHEET!$J$4:$AM$502,15,FALSE))</f>
        <v>1</v>
      </c>
      <c r="H64" s="19">
        <f t="shared" si="13"/>
        <v>0.14285714285714285</v>
      </c>
      <c r="I64" s="68">
        <f>IF($E64="","",VLOOKUP(D64,WORKSHEET!$J$4:$AM$502,21,FALSE))</f>
        <v>3</v>
      </c>
      <c r="J64" s="19">
        <f t="shared" si="14"/>
        <v>0.42857142857142855</v>
      </c>
      <c r="K64" s="69">
        <f>IF($E64="","",VLOOKUP(D64,WORKSHEET!$J$4:$AM$502,23,FALSE))</f>
        <v>0</v>
      </c>
      <c r="L64" s="68">
        <f>IF($E64="","",VLOOKUP(D64,WORKSHEET!$J$4:$AM$502,24,FALSE))</f>
        <v>2</v>
      </c>
      <c r="M64" s="68">
        <f>IF($E64="","",VLOOKUP(D64,WORKSHEET!$J$4:$AM$502,25,FALSE))</f>
        <v>0</v>
      </c>
      <c r="N64" s="68">
        <f t="shared" si="15"/>
        <v>2</v>
      </c>
      <c r="O64" s="70">
        <f t="shared" si="16"/>
        <v>0.2857142857142857</v>
      </c>
      <c r="P64" s="71">
        <f>IF($E64="","",VLOOKUP(D64,WORKSHEET!$J$4:$AM$502,27,FALSE)+VLOOKUP(D64,WORKSHEET!$J$4:$AM$502,28,FALSE)+VLOOKUP(D64,WORKSHEET!$J$4:$AM$502,29,FALSE))</f>
        <v>2</v>
      </c>
      <c r="Q64" s="70">
        <f t="shared" si="17"/>
        <v>0.2857142857142857</v>
      </c>
    </row>
    <row r="65" spans="2:17" ht="18" customHeight="1" x14ac:dyDescent="0.35">
      <c r="B65" s="4" t="str">
        <f t="shared" si="11"/>
        <v>Dec 2025</v>
      </c>
      <c r="C65" s="4" t="s">
        <v>74</v>
      </c>
      <c r="D65" s="4" t="str">
        <f t="shared" si="12"/>
        <v>Dec 2025-WEST-47</v>
      </c>
      <c r="E65" s="67" t="str">
        <f>IFERROR(VLOOKUP(D65,WORKSHEET!$J$4:$AM$502,13,FALSE),"")</f>
        <v>BMW of Escondido</v>
      </c>
      <c r="F65" s="68">
        <f>IF($E65="","",VLOOKUP(D65,WORKSHEET!$J$4:$AM$502,14,FALSE))</f>
        <v>15</v>
      </c>
      <c r="G65" s="69">
        <f>IF($E65="","",VLOOKUP(D65,WORKSHEET!$J$4:$AM$502,15,FALSE))</f>
        <v>2</v>
      </c>
      <c r="H65" s="19">
        <f t="shared" si="13"/>
        <v>0.13333333333333333</v>
      </c>
      <c r="I65" s="68">
        <f>IF($E65="","",VLOOKUP(D65,WORKSHEET!$J$4:$AM$502,21,FALSE))</f>
        <v>7</v>
      </c>
      <c r="J65" s="19">
        <f t="shared" si="14"/>
        <v>0.46666666666666667</v>
      </c>
      <c r="K65" s="69">
        <f>IF($E65="","",VLOOKUP(D65,WORKSHEET!$J$4:$AM$502,23,FALSE))</f>
        <v>0</v>
      </c>
      <c r="L65" s="68">
        <f>IF($E65="","",VLOOKUP(D65,WORKSHEET!$J$4:$AM$502,24,FALSE))</f>
        <v>2</v>
      </c>
      <c r="M65" s="68">
        <f>IF($E65="","",VLOOKUP(D65,WORKSHEET!$J$4:$AM$502,25,FALSE))</f>
        <v>0</v>
      </c>
      <c r="N65" s="68">
        <f t="shared" si="15"/>
        <v>2</v>
      </c>
      <c r="O65" s="70">
        <f t="shared" si="16"/>
        <v>0.13333333333333333</v>
      </c>
      <c r="P65" s="71">
        <f>IF($E65="","",VLOOKUP(D65,WORKSHEET!$J$4:$AM$502,27,FALSE)+VLOOKUP(D65,WORKSHEET!$J$4:$AM$502,28,FALSE)+VLOOKUP(D65,WORKSHEET!$J$4:$AM$502,29,FALSE))</f>
        <v>6</v>
      </c>
      <c r="Q65" s="70">
        <f t="shared" si="17"/>
        <v>0.4</v>
      </c>
    </row>
    <row r="66" spans="2:17" ht="18" customHeight="1" x14ac:dyDescent="0.35">
      <c r="B66" s="4" t="str">
        <f t="shared" si="11"/>
        <v>Dec 2025</v>
      </c>
      <c r="C66" s="4" t="s">
        <v>75</v>
      </c>
      <c r="D66" s="4" t="str">
        <f t="shared" si="12"/>
        <v>Dec 2025-WEST-48</v>
      </c>
      <c r="E66" s="67" t="str">
        <f>IFERROR(VLOOKUP(D66,WORKSHEET!$J$4:$AM$502,13,FALSE),"")</f>
        <v>Acura of Escondido</v>
      </c>
      <c r="F66" s="68">
        <f>IF($E66="","",VLOOKUP(D66,WORKSHEET!$J$4:$AM$502,14,FALSE))</f>
        <v>9</v>
      </c>
      <c r="G66" s="69">
        <f>IF($E66="","",VLOOKUP(D66,WORKSHEET!$J$4:$AM$502,15,FALSE))</f>
        <v>1</v>
      </c>
      <c r="H66" s="19">
        <f t="shared" si="13"/>
        <v>0.1111111111111111</v>
      </c>
      <c r="I66" s="68">
        <f>IF($E66="","",VLOOKUP(D66,WORKSHEET!$J$4:$AM$502,21,FALSE))</f>
        <v>4</v>
      </c>
      <c r="J66" s="19">
        <f t="shared" si="14"/>
        <v>0.44444444444444442</v>
      </c>
      <c r="K66" s="69">
        <f>IF($E66="","",VLOOKUP(D66,WORKSHEET!$J$4:$AM$502,23,FALSE))</f>
        <v>0</v>
      </c>
      <c r="L66" s="68">
        <f>IF($E66="","",VLOOKUP(D66,WORKSHEET!$J$4:$AM$502,24,FALSE))</f>
        <v>0</v>
      </c>
      <c r="M66" s="68">
        <f>IF($E66="","",VLOOKUP(D66,WORKSHEET!$J$4:$AM$502,25,FALSE))</f>
        <v>0</v>
      </c>
      <c r="N66" s="68">
        <f t="shared" si="15"/>
        <v>0</v>
      </c>
      <c r="O66" s="70">
        <f t="shared" si="16"/>
        <v>0</v>
      </c>
      <c r="P66" s="71">
        <f>IF($E66="","",VLOOKUP(D66,WORKSHEET!$J$4:$AM$502,27,FALSE)+VLOOKUP(D66,WORKSHEET!$J$4:$AM$502,28,FALSE)+VLOOKUP(D66,WORKSHEET!$J$4:$AM$502,29,FALSE))</f>
        <v>5</v>
      </c>
      <c r="Q66" s="70">
        <f t="shared" si="17"/>
        <v>0.55555555555555558</v>
      </c>
    </row>
    <row r="67" spans="2:17" ht="18" customHeight="1" x14ac:dyDescent="0.35">
      <c r="B67" s="4" t="str">
        <f t="shared" si="11"/>
        <v>Dec 2025</v>
      </c>
      <c r="C67" s="4" t="s">
        <v>76</v>
      </c>
      <c r="D67" s="4" t="str">
        <f t="shared" si="12"/>
        <v>Dec 2025-WEST-49</v>
      </c>
      <c r="E67" s="67" t="str">
        <f>IFERROR(VLOOKUP(D67,WORKSHEET!$J$4:$AM$502,13,FALSE),"")</f>
        <v>Porsche Stevens Creek</v>
      </c>
      <c r="F67" s="68">
        <f>IF($E67="","",VLOOKUP(D67,WORKSHEET!$J$4:$AM$502,14,FALSE))</f>
        <v>9</v>
      </c>
      <c r="G67" s="69">
        <f>IF($E67="","",VLOOKUP(D67,WORKSHEET!$J$4:$AM$502,15,FALSE))</f>
        <v>1</v>
      </c>
      <c r="H67" s="19">
        <f t="shared" si="13"/>
        <v>0.1111111111111111</v>
      </c>
      <c r="I67" s="68">
        <f>IF($E67="","",VLOOKUP(D67,WORKSHEET!$J$4:$AM$502,21,FALSE))</f>
        <v>6</v>
      </c>
      <c r="J67" s="19">
        <f t="shared" si="14"/>
        <v>0.66666666666666663</v>
      </c>
      <c r="K67" s="69">
        <f>IF($E67="","",VLOOKUP(D67,WORKSHEET!$J$4:$AM$502,23,FALSE))</f>
        <v>0</v>
      </c>
      <c r="L67" s="68">
        <f>IF($E67="","",VLOOKUP(D67,WORKSHEET!$J$4:$AM$502,24,FALSE))</f>
        <v>0</v>
      </c>
      <c r="M67" s="68">
        <f>IF($E67="","",VLOOKUP(D67,WORKSHEET!$J$4:$AM$502,25,FALSE))</f>
        <v>0</v>
      </c>
      <c r="N67" s="68">
        <f t="shared" si="15"/>
        <v>0</v>
      </c>
      <c r="O67" s="70">
        <f t="shared" si="16"/>
        <v>0</v>
      </c>
      <c r="P67" s="71">
        <f>IF($E67="","",VLOOKUP(D67,WORKSHEET!$J$4:$AM$502,27,FALSE)+VLOOKUP(D67,WORKSHEET!$J$4:$AM$502,28,FALSE)+VLOOKUP(D67,WORKSHEET!$J$4:$AM$502,29,FALSE))</f>
        <v>3</v>
      </c>
      <c r="Q67" s="70">
        <f t="shared" si="17"/>
        <v>0.33333333333333331</v>
      </c>
    </row>
    <row r="68" spans="2:17" ht="18" customHeight="1" x14ac:dyDescent="0.35">
      <c r="B68" s="4" t="str">
        <f t="shared" si="11"/>
        <v>Dec 2025</v>
      </c>
      <c r="C68" s="4" t="s">
        <v>77</v>
      </c>
      <c r="D68" s="4" t="str">
        <f t="shared" si="12"/>
        <v>Dec 2025-WEST-50</v>
      </c>
      <c r="E68" s="67" t="str">
        <f>IFERROR(VLOOKUP(D68,WORKSHEET!$J$4:$AM$502,13,FALSE),"")</f>
        <v>Volkswagen South Coast</v>
      </c>
      <c r="F68" s="68">
        <f>IF($E68="","",VLOOKUP(D68,WORKSHEET!$J$4:$AM$502,14,FALSE))</f>
        <v>32</v>
      </c>
      <c r="G68" s="69">
        <f>IF($E68="","",VLOOKUP(D68,WORKSHEET!$J$4:$AM$502,15,FALSE))</f>
        <v>1</v>
      </c>
      <c r="H68" s="19">
        <f t="shared" si="13"/>
        <v>3.125E-2</v>
      </c>
      <c r="I68" s="68">
        <f>IF($E68="","",VLOOKUP(D68,WORKSHEET!$J$4:$AM$502,21,FALSE))</f>
        <v>12</v>
      </c>
      <c r="J68" s="19">
        <f t="shared" si="14"/>
        <v>0.375</v>
      </c>
      <c r="K68" s="69">
        <f>IF($E68="","",VLOOKUP(D68,WORKSHEET!$J$4:$AM$502,23,FALSE))</f>
        <v>0</v>
      </c>
      <c r="L68" s="68">
        <f>IF($E68="","",VLOOKUP(D68,WORKSHEET!$J$4:$AM$502,24,FALSE))</f>
        <v>0</v>
      </c>
      <c r="M68" s="68">
        <f>IF($E68="","",VLOOKUP(D68,WORKSHEET!$J$4:$AM$502,25,FALSE))</f>
        <v>0</v>
      </c>
      <c r="N68" s="68">
        <f t="shared" si="15"/>
        <v>0</v>
      </c>
      <c r="O68" s="70">
        <f t="shared" si="16"/>
        <v>0</v>
      </c>
      <c r="P68" s="71">
        <f>IF($E68="","",VLOOKUP(D68,WORKSHEET!$J$4:$AM$502,27,FALSE)+VLOOKUP(D68,WORKSHEET!$J$4:$AM$502,28,FALSE)+VLOOKUP(D68,WORKSHEET!$J$4:$AM$502,29,FALSE))</f>
        <v>20</v>
      </c>
      <c r="Q68" s="70">
        <f t="shared" si="17"/>
        <v>0.625</v>
      </c>
    </row>
    <row r="69" spans="2:17" ht="18" customHeight="1" x14ac:dyDescent="0.35">
      <c r="B69" s="4" t="str">
        <f t="shared" si="11"/>
        <v>Dec 2025</v>
      </c>
      <c r="C69" s="4" t="s">
        <v>78</v>
      </c>
      <c r="D69" s="4" t="str">
        <f t="shared" si="12"/>
        <v>Dec 2025-WEST-51</v>
      </c>
      <c r="E69" s="67" t="str">
        <f>IFERROR(VLOOKUP(D69,WORKSHEET!$J$4:$AM$502,13,FALSE),"")</f>
        <v>Bentley Scottsdale</v>
      </c>
      <c r="F69" s="68">
        <f>IF($E69="","",VLOOKUP(D69,WORKSHEET!$J$4:$AM$502,14,FALSE))</f>
        <v>1</v>
      </c>
      <c r="G69" s="69">
        <f>IF($E69="","",VLOOKUP(D69,WORKSHEET!$J$4:$AM$502,15,FALSE))</f>
        <v>0</v>
      </c>
      <c r="H69" s="19">
        <f t="shared" si="13"/>
        <v>0</v>
      </c>
      <c r="I69" s="68">
        <f>IF($E69="","",VLOOKUP(D69,WORKSHEET!$J$4:$AM$502,21,FALSE))</f>
        <v>0</v>
      </c>
      <c r="J69" s="19">
        <f t="shared" si="14"/>
        <v>0</v>
      </c>
      <c r="K69" s="69">
        <f>IF($E69="","",VLOOKUP(D69,WORKSHEET!$J$4:$AM$502,23,FALSE))</f>
        <v>1</v>
      </c>
      <c r="L69" s="68">
        <f>IF($E69="","",VLOOKUP(D69,WORKSHEET!$J$4:$AM$502,24,FALSE))</f>
        <v>0</v>
      </c>
      <c r="M69" s="68">
        <f>IF($E69="","",VLOOKUP(D69,WORKSHEET!$J$4:$AM$502,25,FALSE))</f>
        <v>0</v>
      </c>
      <c r="N69" s="68">
        <f t="shared" si="15"/>
        <v>1</v>
      </c>
      <c r="O69" s="70">
        <f t="shared" si="16"/>
        <v>1</v>
      </c>
      <c r="P69" s="71">
        <f>IF($E69="","",VLOOKUP(D69,WORKSHEET!$J$4:$AM$502,27,FALSE)+VLOOKUP(D69,WORKSHEET!$J$4:$AM$502,28,FALSE)+VLOOKUP(D69,WORKSHEET!$J$4:$AM$502,29,FALSE))</f>
        <v>0</v>
      </c>
      <c r="Q69" s="70">
        <f t="shared" si="17"/>
        <v>0</v>
      </c>
    </row>
    <row r="70" spans="2:17" ht="18" customHeight="1" x14ac:dyDescent="0.35">
      <c r="B70" s="4" t="str">
        <f t="shared" si="11"/>
        <v>Dec 2025</v>
      </c>
      <c r="C70" s="4" t="s">
        <v>79</v>
      </c>
      <c r="D70" s="4" t="str">
        <f t="shared" si="12"/>
        <v>Dec 2025-WEST-52</v>
      </c>
      <c r="E70" s="67" t="str">
        <f>IFERROR(VLOOKUP(D70,WORKSHEET!$J$4:$AM$502,13,FALSE),"")</f>
        <v>BMW of Bloomfield Hills</v>
      </c>
      <c r="F70" s="68">
        <f>IF($E70="","",VLOOKUP(D70,WORKSHEET!$J$4:$AM$502,14,FALSE))</f>
        <v>25</v>
      </c>
      <c r="G70" s="69">
        <f>IF($E70="","",VLOOKUP(D70,WORKSHEET!$J$4:$AM$502,15,FALSE))</f>
        <v>0</v>
      </c>
      <c r="H70" s="19">
        <f t="shared" si="13"/>
        <v>0</v>
      </c>
      <c r="I70" s="68">
        <f>IF($E70="","",VLOOKUP(D70,WORKSHEET!$J$4:$AM$502,21,FALSE))</f>
        <v>0</v>
      </c>
      <c r="J70" s="19">
        <f t="shared" si="14"/>
        <v>0</v>
      </c>
      <c r="K70" s="69">
        <f>IF($E70="","",VLOOKUP(D70,WORKSHEET!$J$4:$AM$502,23,FALSE))</f>
        <v>9</v>
      </c>
      <c r="L70" s="68">
        <f>IF($E70="","",VLOOKUP(D70,WORKSHEET!$J$4:$AM$502,24,FALSE))</f>
        <v>0</v>
      </c>
      <c r="M70" s="68">
        <f>IF($E70="","",VLOOKUP(D70,WORKSHEET!$J$4:$AM$502,25,FALSE))</f>
        <v>16</v>
      </c>
      <c r="N70" s="68">
        <f t="shared" si="15"/>
        <v>25</v>
      </c>
      <c r="O70" s="70">
        <f t="shared" si="16"/>
        <v>1</v>
      </c>
      <c r="P70" s="71">
        <f>IF($E70="","",VLOOKUP(D70,WORKSHEET!$J$4:$AM$502,27,FALSE)+VLOOKUP(D70,WORKSHEET!$J$4:$AM$502,28,FALSE)+VLOOKUP(D70,WORKSHEET!$J$4:$AM$502,29,FALSE))</f>
        <v>0</v>
      </c>
      <c r="Q70" s="70">
        <f t="shared" si="17"/>
        <v>0</v>
      </c>
    </row>
    <row r="71" spans="2:17" ht="18" customHeight="1" x14ac:dyDescent="0.35">
      <c r="B71" s="4" t="str">
        <f t="shared" si="11"/>
        <v>Dec 2025</v>
      </c>
      <c r="C71" s="4" t="s">
        <v>80</v>
      </c>
      <c r="D71" s="4" t="str">
        <f t="shared" si="12"/>
        <v>Dec 2025-WEST-53</v>
      </c>
      <c r="E71" s="67" t="str">
        <f>IFERROR(VLOOKUP(D71,WORKSHEET!$J$4:$AM$502,13,FALSE),"")</f>
        <v>Land Rover Chandler</v>
      </c>
      <c r="F71" s="68">
        <f>IF($E71="","",VLOOKUP(D71,WORKSHEET!$J$4:$AM$502,14,FALSE))</f>
        <v>1</v>
      </c>
      <c r="G71" s="69">
        <f>IF($E71="","",VLOOKUP(D71,WORKSHEET!$J$4:$AM$502,15,FALSE))</f>
        <v>0</v>
      </c>
      <c r="H71" s="19">
        <f t="shared" ref="H71:H72" si="18">IF($E71="","",IFERROR(G71/F71,0))</f>
        <v>0</v>
      </c>
      <c r="I71" s="68">
        <f>IF($E71="","",VLOOKUP(D71,WORKSHEET!$J$4:$AM$502,21,FALSE))</f>
        <v>1</v>
      </c>
      <c r="J71" s="19">
        <f t="shared" ref="J71:J72" si="19">IF($E71="","",IFERROR(I71/F71,0))</f>
        <v>1</v>
      </c>
      <c r="K71" s="69">
        <f>IF($E71="","",VLOOKUP(D71,WORKSHEET!$J$4:$AM$502,23,FALSE))</f>
        <v>0</v>
      </c>
      <c r="L71" s="68">
        <f>IF($E71="","",VLOOKUP(D71,WORKSHEET!$J$4:$AM$502,24,FALSE))</f>
        <v>0</v>
      </c>
      <c r="M71" s="68">
        <f>IF($E71="","",VLOOKUP(D71,WORKSHEET!$J$4:$AM$502,25,FALSE))</f>
        <v>0</v>
      </c>
      <c r="N71" s="68">
        <f t="shared" ref="N71:N72" si="20">IF($E71="","",SUM(K71:M71))</f>
        <v>0</v>
      </c>
      <c r="O71" s="70">
        <f t="shared" ref="O71:O72" si="21">IF($E71="","",IFERROR(SUM(K71:M71)/F71,0))</f>
        <v>0</v>
      </c>
      <c r="P71" s="71">
        <f>IF($E71="","",VLOOKUP(D71,WORKSHEET!$J$4:$AM$502,27,FALSE)+VLOOKUP(D71,WORKSHEET!$J$4:$AM$502,28,FALSE)+VLOOKUP(D71,WORKSHEET!$J$4:$AM$502,29,FALSE))</f>
        <v>0</v>
      </c>
      <c r="Q71" s="70">
        <f t="shared" ref="Q71:Q72" si="22">IF($E71="","",IFERROR(P71/F71,0))</f>
        <v>0</v>
      </c>
    </row>
    <row r="72" spans="2:17" ht="18" customHeight="1" x14ac:dyDescent="0.35">
      <c r="B72" s="4" t="str">
        <f t="shared" si="11"/>
        <v>Dec 2025</v>
      </c>
      <c r="C72" s="4" t="s">
        <v>81</v>
      </c>
      <c r="D72" s="4" t="str">
        <f t="shared" ref="D72" si="23">B72&amp;"-"&amp;C72</f>
        <v>Dec 2025-WEST-54</v>
      </c>
      <c r="E72" s="67" t="str">
        <f>IFERROR(VLOOKUP(D72,WORKSHEET!$J$4:$AM$502,13,FALSE),"")</f>
        <v>Motorwerks MINI</v>
      </c>
      <c r="F72" s="68">
        <f>IF($E72="","",VLOOKUP(D72,WORKSHEET!$J$4:$AM$502,14,FALSE))</f>
        <v>1</v>
      </c>
      <c r="G72" s="69">
        <f>IF($E72="","",VLOOKUP(D72,WORKSHEET!$J$4:$AM$502,15,FALSE))</f>
        <v>0</v>
      </c>
      <c r="H72" s="19">
        <f t="shared" si="18"/>
        <v>0</v>
      </c>
      <c r="I72" s="68">
        <f>IF($E72="","",VLOOKUP(D72,WORKSHEET!$J$4:$AM$502,21,FALSE))</f>
        <v>0</v>
      </c>
      <c r="J72" s="19">
        <f t="shared" si="19"/>
        <v>0</v>
      </c>
      <c r="K72" s="69">
        <f>IF($E72="","",VLOOKUP(D72,WORKSHEET!$J$4:$AM$502,23,FALSE))</f>
        <v>0</v>
      </c>
      <c r="L72" s="68">
        <f>IF($E72="","",VLOOKUP(D72,WORKSHEET!$J$4:$AM$502,24,FALSE))</f>
        <v>0</v>
      </c>
      <c r="M72" s="68">
        <f>IF($E72="","",VLOOKUP(D72,WORKSHEET!$J$4:$AM$502,25,FALSE))</f>
        <v>1</v>
      </c>
      <c r="N72" s="68">
        <f t="shared" si="20"/>
        <v>1</v>
      </c>
      <c r="O72" s="70">
        <f t="shared" si="21"/>
        <v>1</v>
      </c>
      <c r="P72" s="71">
        <f>IF($E72="","",VLOOKUP(D72,WORKSHEET!$J$4:$AM$502,27,FALSE)+VLOOKUP(D72,WORKSHEET!$J$4:$AM$502,28,FALSE)+VLOOKUP(D72,WORKSHEET!$J$4:$AM$502,29,FALSE))</f>
        <v>0</v>
      </c>
      <c r="Q72" s="70">
        <f t="shared" si="22"/>
        <v>0</v>
      </c>
    </row>
    <row r="73" spans="2:17" ht="18" customHeight="1" x14ac:dyDescent="0.35">
      <c r="B73" s="4" t="str">
        <f t="shared" si="11"/>
        <v>Dec 2025</v>
      </c>
      <c r="C73" s="4" t="s">
        <v>82</v>
      </c>
      <c r="D73" s="4" t="str">
        <f t="shared" ref="D73:D88" si="24">B73&amp;"-"&amp;C73</f>
        <v>Dec 2025-WEST-55</v>
      </c>
      <c r="E73" s="67" t="str">
        <f>IFERROR(VLOOKUP(D73,WORKSHEET!$J$4:$AM$502,13,FALSE),"")</f>
        <v>Toyota of Clovis</v>
      </c>
      <c r="F73" s="68">
        <f>IF($E73="","",VLOOKUP(D73,WORKSHEET!$J$4:$AM$502,14,FALSE))</f>
        <v>3</v>
      </c>
      <c r="G73" s="69">
        <f>IF($E73="","",VLOOKUP(D73,WORKSHEET!$J$4:$AM$502,15,FALSE))</f>
        <v>0</v>
      </c>
      <c r="H73" s="19">
        <f t="shared" ref="H73:H88" si="25">IF($E73="","",IFERROR(G73/F73,0))</f>
        <v>0</v>
      </c>
      <c r="I73" s="68">
        <f>IF($E73="","",VLOOKUP(D73,WORKSHEET!$J$4:$AM$502,21,FALSE))</f>
        <v>3</v>
      </c>
      <c r="J73" s="19">
        <f t="shared" ref="J73:J88" si="26">IF($E73="","",IFERROR(I73/F73,0))</f>
        <v>1</v>
      </c>
      <c r="K73" s="69">
        <f>IF($E73="","",VLOOKUP(D73,WORKSHEET!$J$4:$AM$502,23,FALSE))</f>
        <v>0</v>
      </c>
      <c r="L73" s="68">
        <f>IF($E73="","",VLOOKUP(D73,WORKSHEET!$J$4:$AM$502,24,FALSE))</f>
        <v>0</v>
      </c>
      <c r="M73" s="68">
        <f>IF($E73="","",VLOOKUP(D73,WORKSHEET!$J$4:$AM$502,25,FALSE))</f>
        <v>0</v>
      </c>
      <c r="N73" s="68">
        <f t="shared" ref="N73:N88" si="27">IF($E73="","",SUM(K73:M73))</f>
        <v>0</v>
      </c>
      <c r="O73" s="70">
        <f t="shared" ref="O73:O88" si="28">IF($E73="","",IFERROR(SUM(K73:M73)/F73,0))</f>
        <v>0</v>
      </c>
      <c r="P73" s="71">
        <f>IF($E73="","",VLOOKUP(D73,WORKSHEET!$J$4:$AM$502,27,FALSE)+VLOOKUP(D73,WORKSHEET!$J$4:$AM$502,28,FALSE)+VLOOKUP(D73,WORKSHEET!$J$4:$AM$502,29,FALSE))</f>
        <v>0</v>
      </c>
      <c r="Q73" s="70">
        <f t="shared" ref="Q73:Q88" si="29">IF($E73="","",IFERROR(P73/F73,0))</f>
        <v>0</v>
      </c>
    </row>
    <row r="74" spans="2:17" ht="18" customHeight="1" x14ac:dyDescent="0.35">
      <c r="B74" s="4" t="str">
        <f t="shared" si="11"/>
        <v>Dec 2025</v>
      </c>
      <c r="C74" s="4" t="s">
        <v>83</v>
      </c>
      <c r="D74" s="4" t="str">
        <f t="shared" si="24"/>
        <v>Dec 2025-WEST-56</v>
      </c>
      <c r="E74" s="67" t="str">
        <f>IFERROR(VLOOKUP(D74,WORKSHEET!$J$4:$AM$502,13,FALSE),"")</f>
        <v>Volkswagen North Scottsdale</v>
      </c>
      <c r="F74" s="68">
        <f>IF($E74="","",VLOOKUP(D74,WORKSHEET!$J$4:$AM$502,14,FALSE))</f>
        <v>2</v>
      </c>
      <c r="G74" s="69">
        <f>IF($E74="","",VLOOKUP(D74,WORKSHEET!$J$4:$AM$502,15,FALSE))</f>
        <v>0</v>
      </c>
      <c r="H74" s="19">
        <f t="shared" si="25"/>
        <v>0</v>
      </c>
      <c r="I74" s="68">
        <f>IF($E74="","",VLOOKUP(D74,WORKSHEET!$J$4:$AM$502,21,FALSE))</f>
        <v>2</v>
      </c>
      <c r="J74" s="19">
        <f t="shared" si="26"/>
        <v>1</v>
      </c>
      <c r="K74" s="69">
        <f>IF($E74="","",VLOOKUP(D74,WORKSHEET!$J$4:$AM$502,23,FALSE))</f>
        <v>0</v>
      </c>
      <c r="L74" s="68">
        <f>IF($E74="","",VLOOKUP(D74,WORKSHEET!$J$4:$AM$502,24,FALSE))</f>
        <v>0</v>
      </c>
      <c r="M74" s="68">
        <f>IF($E74="","",VLOOKUP(D74,WORKSHEET!$J$4:$AM$502,25,FALSE))</f>
        <v>0</v>
      </c>
      <c r="N74" s="68">
        <f t="shared" si="27"/>
        <v>0</v>
      </c>
      <c r="O74" s="70">
        <f t="shared" si="28"/>
        <v>0</v>
      </c>
      <c r="P74" s="71">
        <f>IF($E74="","",VLOOKUP(D74,WORKSHEET!$J$4:$AM$502,27,FALSE)+VLOOKUP(D74,WORKSHEET!$J$4:$AM$502,28,FALSE)+VLOOKUP(D74,WORKSHEET!$J$4:$AM$502,29,FALSE))</f>
        <v>0</v>
      </c>
      <c r="Q74" s="70">
        <f t="shared" si="29"/>
        <v>0</v>
      </c>
    </row>
    <row r="75" spans="2:17" ht="18" customHeight="1" x14ac:dyDescent="0.35">
      <c r="B75" s="4" t="str">
        <f t="shared" si="11"/>
        <v>Dec 2025</v>
      </c>
      <c r="C75" s="4" t="s">
        <v>84</v>
      </c>
      <c r="D75" s="4" t="str">
        <f t="shared" si="24"/>
        <v>Dec 2025-WEST-57</v>
      </c>
      <c r="E75" s="67" t="str">
        <f ca="1">IFERROR(VLOOKUP(D75,WORKSHEET!$J$4:$AM$502,13,FALSE),"")</f>
        <v/>
      </c>
      <c r="F75" s="68" t="str">
        <f ca="1">IF($E75="","",VLOOKUP(D75,WORKSHEET!$J$4:$AM$502,14,FALSE))</f>
        <v/>
      </c>
      <c r="G75" s="69" t="str">
        <f ca="1">IF($E75="","",VLOOKUP(D75,WORKSHEET!$J$4:$AM$502,15,FALSE))</f>
        <v/>
      </c>
      <c r="H75" s="19" t="str">
        <f t="shared" ca="1" si="25"/>
        <v/>
      </c>
      <c r="I75" s="68" t="str">
        <f ca="1">IF($E75="","",VLOOKUP(D75,WORKSHEET!$J$4:$AM$502,21,FALSE))</f>
        <v/>
      </c>
      <c r="J75" s="19" t="str">
        <f t="shared" ca="1" si="26"/>
        <v/>
      </c>
      <c r="K75" s="69" t="str">
        <f ca="1">IF($E75="","",VLOOKUP(D75,WORKSHEET!$J$4:$AM$502,23,FALSE))</f>
        <v/>
      </c>
      <c r="L75" s="68" t="str">
        <f ca="1">IF($E75="","",VLOOKUP(D75,WORKSHEET!$J$4:$AM$502,24,FALSE))</f>
        <v/>
      </c>
      <c r="M75" s="68" t="str">
        <f ca="1">IF($E75="","",VLOOKUP(D75,WORKSHEET!$J$4:$AM$502,25,FALSE))</f>
        <v/>
      </c>
      <c r="N75" s="68" t="str">
        <f t="shared" ca="1" si="27"/>
        <v/>
      </c>
      <c r="O75" s="70" t="str">
        <f t="shared" ca="1" si="28"/>
        <v/>
      </c>
      <c r="P75" s="71" t="str">
        <f ca="1">IF($E75="","",VLOOKUP(D75,WORKSHEET!$J$4:$AM$502,27,FALSE)+VLOOKUP(D75,WORKSHEET!$J$4:$AM$502,28,FALSE)+VLOOKUP(D75,WORKSHEET!$J$4:$AM$502,29,FALSE))</f>
        <v/>
      </c>
      <c r="Q75" s="70" t="str">
        <f t="shared" ca="1" si="29"/>
        <v/>
      </c>
    </row>
    <row r="76" spans="2:17" ht="18" customHeight="1" x14ac:dyDescent="0.35">
      <c r="B76" s="4" t="str">
        <f t="shared" si="11"/>
        <v>Dec 2025</v>
      </c>
      <c r="C76" s="4" t="s">
        <v>85</v>
      </c>
      <c r="D76" s="4" t="str">
        <f t="shared" si="24"/>
        <v>Dec 2025-WEST-58</v>
      </c>
      <c r="E76" s="67" t="str">
        <f ca="1">IFERROR(VLOOKUP(D76,WORKSHEET!$J$4:$AM$502,13,FALSE),"")</f>
        <v/>
      </c>
      <c r="F76" s="68" t="str">
        <f ca="1">IF($E76="","",VLOOKUP(D76,WORKSHEET!$J$4:$AM$502,14,FALSE))</f>
        <v/>
      </c>
      <c r="G76" s="69" t="str">
        <f ca="1">IF($E76="","",VLOOKUP(D76,WORKSHEET!$J$4:$AM$502,15,FALSE))</f>
        <v/>
      </c>
      <c r="H76" s="19" t="str">
        <f t="shared" ca="1" si="25"/>
        <v/>
      </c>
      <c r="I76" s="68" t="str">
        <f ca="1">IF($E76="","",VLOOKUP(D76,WORKSHEET!$J$4:$AM$502,21,FALSE))</f>
        <v/>
      </c>
      <c r="J76" s="19" t="str">
        <f t="shared" ca="1" si="26"/>
        <v/>
      </c>
      <c r="K76" s="69" t="str">
        <f ca="1">IF($E76="","",VLOOKUP(D76,WORKSHEET!$J$4:$AM$502,23,FALSE))</f>
        <v/>
      </c>
      <c r="L76" s="68" t="str">
        <f ca="1">IF($E76="","",VLOOKUP(D76,WORKSHEET!$J$4:$AM$502,24,FALSE))</f>
        <v/>
      </c>
      <c r="M76" s="68" t="str">
        <f ca="1">IF($E76="","",VLOOKUP(D76,WORKSHEET!$J$4:$AM$502,25,FALSE))</f>
        <v/>
      </c>
      <c r="N76" s="68" t="str">
        <f t="shared" ca="1" si="27"/>
        <v/>
      </c>
      <c r="O76" s="70" t="str">
        <f t="shared" ca="1" si="28"/>
        <v/>
      </c>
      <c r="P76" s="71" t="str">
        <f ca="1">IF($E76="","",VLOOKUP(D76,WORKSHEET!$J$4:$AM$502,27,FALSE)+VLOOKUP(D76,WORKSHEET!$J$4:$AM$502,28,FALSE)+VLOOKUP(D76,WORKSHEET!$J$4:$AM$502,29,FALSE))</f>
        <v/>
      </c>
      <c r="Q76" s="70" t="str">
        <f t="shared" ca="1" si="29"/>
        <v/>
      </c>
    </row>
    <row r="77" spans="2:17" ht="18" customHeight="1" x14ac:dyDescent="0.35">
      <c r="B77" s="4" t="str">
        <f t="shared" si="11"/>
        <v>Dec 2025</v>
      </c>
      <c r="C77" s="4" t="s">
        <v>86</v>
      </c>
      <c r="D77" s="4" t="str">
        <f t="shared" si="24"/>
        <v>Dec 2025-WEST-59</v>
      </c>
      <c r="E77" s="67" t="str">
        <f ca="1">IFERROR(VLOOKUP(D77,WORKSHEET!$J$4:$AM$502,13,FALSE),"")</f>
        <v/>
      </c>
      <c r="F77" s="68" t="str">
        <f ca="1">IF($E77="","",VLOOKUP(D77,WORKSHEET!$J$4:$AM$502,14,FALSE))</f>
        <v/>
      </c>
      <c r="G77" s="69" t="str">
        <f ca="1">IF($E77="","",VLOOKUP(D77,WORKSHEET!$J$4:$AM$502,15,FALSE))</f>
        <v/>
      </c>
      <c r="H77" s="19" t="str">
        <f t="shared" ca="1" si="25"/>
        <v/>
      </c>
      <c r="I77" s="68" t="str">
        <f ca="1">IF($E77="","",VLOOKUP(D77,WORKSHEET!$J$4:$AM$502,21,FALSE))</f>
        <v/>
      </c>
      <c r="J77" s="19" t="str">
        <f t="shared" ca="1" si="26"/>
        <v/>
      </c>
      <c r="K77" s="69" t="str">
        <f ca="1">IF($E77="","",VLOOKUP(D77,WORKSHEET!$J$4:$AM$502,23,FALSE))</f>
        <v/>
      </c>
      <c r="L77" s="68" t="str">
        <f ca="1">IF($E77="","",VLOOKUP(D77,WORKSHEET!$J$4:$AM$502,24,FALSE))</f>
        <v/>
      </c>
      <c r="M77" s="68" t="str">
        <f ca="1">IF($E77="","",VLOOKUP(D77,WORKSHEET!$J$4:$AM$502,25,FALSE))</f>
        <v/>
      </c>
      <c r="N77" s="68" t="str">
        <f t="shared" ca="1" si="27"/>
        <v/>
      </c>
      <c r="O77" s="70" t="str">
        <f t="shared" ca="1" si="28"/>
        <v/>
      </c>
      <c r="P77" s="71" t="str">
        <f ca="1">IF($E77="","",VLOOKUP(D77,WORKSHEET!$J$4:$AM$502,27,FALSE)+VLOOKUP(D77,WORKSHEET!$J$4:$AM$502,28,FALSE)+VLOOKUP(D77,WORKSHEET!$J$4:$AM$502,29,FALSE))</f>
        <v/>
      </c>
      <c r="Q77" s="70" t="str">
        <f t="shared" ca="1" si="29"/>
        <v/>
      </c>
    </row>
    <row r="78" spans="2:17" ht="18" customHeight="1" x14ac:dyDescent="0.35">
      <c r="B78" s="4" t="str">
        <f t="shared" si="11"/>
        <v>Dec 2025</v>
      </c>
      <c r="C78" s="4" t="s">
        <v>87</v>
      </c>
      <c r="D78" s="4" t="str">
        <f t="shared" si="24"/>
        <v>Dec 2025-WEST-60</v>
      </c>
      <c r="E78" s="67" t="str">
        <f ca="1">IFERROR(VLOOKUP(D78,WORKSHEET!$J$4:$AM$502,13,FALSE),"")</f>
        <v/>
      </c>
      <c r="F78" s="68" t="str">
        <f ca="1">IF($E78="","",VLOOKUP(D78,WORKSHEET!$J$4:$AM$502,14,FALSE))</f>
        <v/>
      </c>
      <c r="G78" s="69" t="str">
        <f ca="1">IF($E78="","",VLOOKUP(D78,WORKSHEET!$J$4:$AM$502,15,FALSE))</f>
        <v/>
      </c>
      <c r="H78" s="19" t="str">
        <f t="shared" ca="1" si="25"/>
        <v/>
      </c>
      <c r="I78" s="68" t="str">
        <f ca="1">IF($E78="","",VLOOKUP(D78,WORKSHEET!$J$4:$AM$502,21,FALSE))</f>
        <v/>
      </c>
      <c r="J78" s="19" t="str">
        <f t="shared" ca="1" si="26"/>
        <v/>
      </c>
      <c r="K78" s="69" t="str">
        <f ca="1">IF($E78="","",VLOOKUP(D78,WORKSHEET!$J$4:$AM$502,23,FALSE))</f>
        <v/>
      </c>
      <c r="L78" s="68" t="str">
        <f ca="1">IF($E78="","",VLOOKUP(D78,WORKSHEET!$J$4:$AM$502,24,FALSE))</f>
        <v/>
      </c>
      <c r="M78" s="68" t="str">
        <f ca="1">IF($E78="","",VLOOKUP(D78,WORKSHEET!$J$4:$AM$502,25,FALSE))</f>
        <v/>
      </c>
      <c r="N78" s="68" t="str">
        <f t="shared" ca="1" si="27"/>
        <v/>
      </c>
      <c r="O78" s="70" t="str">
        <f t="shared" ca="1" si="28"/>
        <v/>
      </c>
      <c r="P78" s="71" t="str">
        <f ca="1">IF($E78="","",VLOOKUP(D78,WORKSHEET!$J$4:$AM$502,27,FALSE)+VLOOKUP(D78,WORKSHEET!$J$4:$AM$502,28,FALSE)+VLOOKUP(D78,WORKSHEET!$J$4:$AM$502,29,FALSE))</f>
        <v/>
      </c>
      <c r="Q78" s="70" t="str">
        <f t="shared" ca="1" si="29"/>
        <v/>
      </c>
    </row>
    <row r="79" spans="2:17" ht="17.149999999999999" customHeight="1" x14ac:dyDescent="0.35">
      <c r="B79" s="4" t="str">
        <f t="shared" si="11"/>
        <v>Dec 2025</v>
      </c>
      <c r="C79" s="4" t="s">
        <v>88</v>
      </c>
      <c r="D79" s="4" t="str">
        <f t="shared" si="24"/>
        <v>Dec 2025-WEST-61</v>
      </c>
      <c r="E79" s="60" t="str">
        <f ca="1">IFERROR(VLOOKUP(D79,WORKSHEET!$J$4:$AM$502,13,FALSE),"")</f>
        <v/>
      </c>
      <c r="F79" s="17" t="str">
        <f ca="1">IF($E79="","",VLOOKUP(D79,WORKSHEET!$J$4:$AM$502,14,FALSE))</f>
        <v/>
      </c>
      <c r="G79" s="18" t="str">
        <f ca="1">IF($E79="","",VLOOKUP(D79,WORKSHEET!$J$4:$AM$502,15,FALSE))</f>
        <v/>
      </c>
      <c r="H79" s="19" t="str">
        <f t="shared" ca="1" si="25"/>
        <v/>
      </c>
      <c r="I79" s="17" t="str">
        <f ca="1">IF($E79="","",VLOOKUP(D79,WORKSHEET!$J$4:$AM$502,21,FALSE))</f>
        <v/>
      </c>
      <c r="J79" s="19" t="str">
        <f t="shared" ca="1" si="26"/>
        <v/>
      </c>
      <c r="K79" s="18" t="str">
        <f ca="1">IF($E79="","",VLOOKUP(D79,WORKSHEET!$J$4:$AM$502,23,FALSE))</f>
        <v/>
      </c>
      <c r="L79" s="17" t="str">
        <f ca="1">IF($E79="","",VLOOKUP(D79,WORKSHEET!$J$4:$AM$502,24,FALSE))</f>
        <v/>
      </c>
      <c r="M79" s="17" t="str">
        <f ca="1">IF($E79="","",VLOOKUP(D79,WORKSHEET!$J$4:$AM$502,25,FALSE))</f>
        <v/>
      </c>
      <c r="N79" s="17" t="str">
        <f t="shared" ca="1" si="27"/>
        <v/>
      </c>
      <c r="O79" s="20" t="str">
        <f t="shared" ca="1" si="28"/>
        <v/>
      </c>
      <c r="P79" s="21" t="str">
        <f ca="1">IF($E79="","",VLOOKUP(D79,WORKSHEET!$J$4:$AM$502,27,FALSE)+VLOOKUP(D79,WORKSHEET!$J$4:$AM$502,28,FALSE)+VLOOKUP(D79,WORKSHEET!$J$4:$AM$502,29,FALSE))</f>
        <v/>
      </c>
      <c r="Q79" s="20" t="str">
        <f t="shared" ca="1" si="29"/>
        <v/>
      </c>
    </row>
    <row r="80" spans="2:17" ht="17.149999999999999" customHeight="1" x14ac:dyDescent="0.35">
      <c r="B80" s="4" t="str">
        <f t="shared" si="11"/>
        <v>Dec 2025</v>
      </c>
      <c r="C80" s="4" t="s">
        <v>89</v>
      </c>
      <c r="D80" s="4" t="str">
        <f t="shared" si="24"/>
        <v>Dec 2025-WEST-62</v>
      </c>
      <c r="E80" s="60" t="str">
        <f ca="1">IFERROR(VLOOKUP(D80,WORKSHEET!$J$4:$AM$502,13,FALSE),"")</f>
        <v/>
      </c>
      <c r="F80" s="17" t="str">
        <f ca="1">IF($E80="","",VLOOKUP(D80,WORKSHEET!$J$4:$AM$502,14,FALSE))</f>
        <v/>
      </c>
      <c r="G80" s="18" t="str">
        <f ca="1">IF($E80="","",VLOOKUP(D80,WORKSHEET!$J$4:$AM$502,15,FALSE))</f>
        <v/>
      </c>
      <c r="H80" s="19" t="str">
        <f t="shared" ca="1" si="25"/>
        <v/>
      </c>
      <c r="I80" s="17" t="str">
        <f ca="1">IF($E80="","",VLOOKUP(D80,WORKSHEET!$J$4:$AM$502,21,FALSE))</f>
        <v/>
      </c>
      <c r="J80" s="19" t="str">
        <f t="shared" ca="1" si="26"/>
        <v/>
      </c>
      <c r="K80" s="18" t="str">
        <f ca="1">IF($E80="","",VLOOKUP(D80,WORKSHEET!$J$4:$AM$502,23,FALSE))</f>
        <v/>
      </c>
      <c r="L80" s="17" t="str">
        <f ca="1">IF($E80="","",VLOOKUP(D80,WORKSHEET!$J$4:$AM$502,24,FALSE))</f>
        <v/>
      </c>
      <c r="M80" s="17" t="str">
        <f ca="1">IF($E80="","",VLOOKUP(D80,WORKSHEET!$J$4:$AM$502,25,FALSE))</f>
        <v/>
      </c>
      <c r="N80" s="17" t="str">
        <f t="shared" ca="1" si="27"/>
        <v/>
      </c>
      <c r="O80" s="20" t="str">
        <f t="shared" ca="1" si="28"/>
        <v/>
      </c>
      <c r="P80" s="21" t="str">
        <f ca="1">IF($E80="","",VLOOKUP(D80,WORKSHEET!$J$4:$AM$502,27,FALSE)+VLOOKUP(D80,WORKSHEET!$J$4:$AM$502,28,FALSE)+VLOOKUP(D80,WORKSHEET!$J$4:$AM$502,29,FALSE))</f>
        <v/>
      </c>
      <c r="Q80" s="20" t="str">
        <f t="shared" ca="1" si="29"/>
        <v/>
      </c>
    </row>
    <row r="81" spans="2:17" ht="17.149999999999999" customHeight="1" x14ac:dyDescent="0.35">
      <c r="B81" s="4" t="str">
        <f t="shared" si="11"/>
        <v>Dec 2025</v>
      </c>
      <c r="C81" s="4" t="s">
        <v>90</v>
      </c>
      <c r="D81" s="4" t="str">
        <f t="shared" si="24"/>
        <v>Dec 2025-WEST-63</v>
      </c>
      <c r="E81" s="60" t="str">
        <f ca="1">IFERROR(VLOOKUP(D81,WORKSHEET!$J$4:$AM$502,13,FALSE),"")</f>
        <v/>
      </c>
      <c r="F81" s="17" t="str">
        <f ca="1">IF($E81="","",VLOOKUP(D81,WORKSHEET!$J$4:$AM$502,14,FALSE))</f>
        <v/>
      </c>
      <c r="G81" s="18" t="str">
        <f ca="1">IF($E81="","",VLOOKUP(D81,WORKSHEET!$J$4:$AM$502,15,FALSE))</f>
        <v/>
      </c>
      <c r="H81" s="19" t="str">
        <f t="shared" ca="1" si="25"/>
        <v/>
      </c>
      <c r="I81" s="17" t="str">
        <f ca="1">IF($E81="","",VLOOKUP(D81,WORKSHEET!$J$4:$AM$502,21,FALSE))</f>
        <v/>
      </c>
      <c r="J81" s="19" t="str">
        <f t="shared" ca="1" si="26"/>
        <v/>
      </c>
      <c r="K81" s="18" t="str">
        <f ca="1">IF($E81="","",VLOOKUP(D81,WORKSHEET!$J$4:$AM$502,23,FALSE))</f>
        <v/>
      </c>
      <c r="L81" s="17" t="str">
        <f ca="1">IF($E81="","",VLOOKUP(D81,WORKSHEET!$J$4:$AM$502,24,FALSE))</f>
        <v/>
      </c>
      <c r="M81" s="17" t="str">
        <f ca="1">IF($E81="","",VLOOKUP(D81,WORKSHEET!$J$4:$AM$502,25,FALSE))</f>
        <v/>
      </c>
      <c r="N81" s="17" t="str">
        <f t="shared" ca="1" si="27"/>
        <v/>
      </c>
      <c r="O81" s="20" t="str">
        <f t="shared" ca="1" si="28"/>
        <v/>
      </c>
      <c r="P81" s="21" t="str">
        <f ca="1">IF($E81="","",VLOOKUP(D81,WORKSHEET!$J$4:$AM$502,27,FALSE)+VLOOKUP(D81,WORKSHEET!$J$4:$AM$502,28,FALSE)+VLOOKUP(D81,WORKSHEET!$J$4:$AM$502,29,FALSE))</f>
        <v/>
      </c>
      <c r="Q81" s="20" t="str">
        <f t="shared" ca="1" si="29"/>
        <v/>
      </c>
    </row>
    <row r="82" spans="2:17" ht="17.149999999999999" customHeight="1" x14ac:dyDescent="0.35">
      <c r="B82" s="4" t="str">
        <f t="shared" si="11"/>
        <v>Dec 2025</v>
      </c>
      <c r="C82" s="4" t="s">
        <v>91</v>
      </c>
      <c r="D82" s="4" t="str">
        <f t="shared" si="24"/>
        <v>Dec 2025-WEST-64</v>
      </c>
      <c r="E82" s="60" t="str">
        <f ca="1">IFERROR(VLOOKUP(D82,WORKSHEET!$J$4:$AM$502,13,FALSE),"")</f>
        <v/>
      </c>
      <c r="F82" s="17" t="str">
        <f ca="1">IF($E82="","",VLOOKUP(D82,WORKSHEET!$J$4:$AM$502,14,FALSE))</f>
        <v/>
      </c>
      <c r="G82" s="18" t="str">
        <f ca="1">IF($E82="","",VLOOKUP(D82,WORKSHEET!$J$4:$AM$502,15,FALSE))</f>
        <v/>
      </c>
      <c r="H82" s="19" t="str">
        <f t="shared" ca="1" si="25"/>
        <v/>
      </c>
      <c r="I82" s="17" t="str">
        <f ca="1">IF($E82="","",VLOOKUP(D82,WORKSHEET!$J$4:$AM$502,21,FALSE))</f>
        <v/>
      </c>
      <c r="J82" s="19" t="str">
        <f t="shared" ca="1" si="26"/>
        <v/>
      </c>
      <c r="K82" s="18" t="str">
        <f ca="1">IF($E82="","",VLOOKUP(D82,WORKSHEET!$J$4:$AM$502,23,FALSE))</f>
        <v/>
      </c>
      <c r="L82" s="17" t="str">
        <f ca="1">IF($E82="","",VLOOKUP(D82,WORKSHEET!$J$4:$AM$502,24,FALSE))</f>
        <v/>
      </c>
      <c r="M82" s="17" t="str">
        <f ca="1">IF($E82="","",VLOOKUP(D82,WORKSHEET!$J$4:$AM$502,25,FALSE))</f>
        <v/>
      </c>
      <c r="N82" s="17" t="str">
        <f t="shared" ca="1" si="27"/>
        <v/>
      </c>
      <c r="O82" s="20" t="str">
        <f t="shared" ca="1" si="28"/>
        <v/>
      </c>
      <c r="P82" s="21" t="str">
        <f ca="1">IF($E82="","",VLOOKUP(D82,WORKSHEET!$J$4:$AM$502,27,FALSE)+VLOOKUP(D82,WORKSHEET!$J$4:$AM$502,28,FALSE)+VLOOKUP(D82,WORKSHEET!$J$4:$AM$502,29,FALSE))</f>
        <v/>
      </c>
      <c r="Q82" s="20" t="str">
        <f t="shared" ca="1" si="29"/>
        <v/>
      </c>
    </row>
    <row r="83" spans="2:17" ht="17.149999999999999" customHeight="1" x14ac:dyDescent="0.35">
      <c r="B83" s="4" t="str">
        <f t="shared" si="11"/>
        <v>Dec 2025</v>
      </c>
      <c r="C83" s="4" t="s">
        <v>92</v>
      </c>
      <c r="D83" s="4" t="str">
        <f t="shared" si="24"/>
        <v>Dec 2025-WEST-65</v>
      </c>
      <c r="E83" s="60" t="str">
        <f ca="1">IFERROR(VLOOKUP(D83,WORKSHEET!$J$4:$AM$502,13,FALSE),"")</f>
        <v/>
      </c>
      <c r="F83" s="17" t="str">
        <f ca="1">IF($E83="","",VLOOKUP(D83,WORKSHEET!$J$4:$AM$502,14,FALSE))</f>
        <v/>
      </c>
      <c r="G83" s="18" t="str">
        <f ca="1">IF($E83="","",VLOOKUP(D83,WORKSHEET!$J$4:$AM$502,15,FALSE))</f>
        <v/>
      </c>
      <c r="H83" s="19" t="str">
        <f t="shared" ca="1" si="25"/>
        <v/>
      </c>
      <c r="I83" s="17" t="str">
        <f ca="1">IF($E83="","",VLOOKUP(D83,WORKSHEET!$J$4:$AM$502,21,FALSE))</f>
        <v/>
      </c>
      <c r="J83" s="19" t="str">
        <f t="shared" ca="1" si="26"/>
        <v/>
      </c>
      <c r="K83" s="18" t="str">
        <f ca="1">IF($E83="","",VLOOKUP(D83,WORKSHEET!$J$4:$AM$502,23,FALSE))</f>
        <v/>
      </c>
      <c r="L83" s="17" t="str">
        <f ca="1">IF($E83="","",VLOOKUP(D83,WORKSHEET!$J$4:$AM$502,24,FALSE))</f>
        <v/>
      </c>
      <c r="M83" s="17" t="str">
        <f ca="1">IF($E83="","",VLOOKUP(D83,WORKSHEET!$J$4:$AM$502,25,FALSE))</f>
        <v/>
      </c>
      <c r="N83" s="17" t="str">
        <f t="shared" ca="1" si="27"/>
        <v/>
      </c>
      <c r="O83" s="20" t="str">
        <f t="shared" ca="1" si="28"/>
        <v/>
      </c>
      <c r="P83" s="21" t="str">
        <f ca="1">IF($E83="","",VLOOKUP(D83,WORKSHEET!$J$4:$AM$502,27,FALSE)+VLOOKUP(D83,WORKSHEET!$J$4:$AM$502,28,FALSE)+VLOOKUP(D83,WORKSHEET!$J$4:$AM$502,29,FALSE))</f>
        <v/>
      </c>
      <c r="Q83" s="20" t="str">
        <f t="shared" ca="1" si="29"/>
        <v/>
      </c>
    </row>
    <row r="84" spans="2:17" ht="17.149999999999999" customHeight="1" x14ac:dyDescent="0.35">
      <c r="B84" s="4" t="str">
        <f t="shared" ref="B84:B88" si="30">B83</f>
        <v>Dec 2025</v>
      </c>
      <c r="C84" s="4" t="s">
        <v>93</v>
      </c>
      <c r="D84" s="4" t="str">
        <f t="shared" si="24"/>
        <v>Dec 2025-WEST-66</v>
      </c>
      <c r="E84" s="60" t="str">
        <f ca="1">IFERROR(VLOOKUP(D84,WORKSHEET!$J$4:$AM$502,13,FALSE),"")</f>
        <v/>
      </c>
      <c r="F84" s="17" t="str">
        <f ca="1">IF($E84="","",VLOOKUP(D84,WORKSHEET!$J$4:$AM$502,14,FALSE))</f>
        <v/>
      </c>
      <c r="G84" s="18" t="str">
        <f ca="1">IF($E84="","",VLOOKUP(D84,WORKSHEET!$J$4:$AM$502,15,FALSE))</f>
        <v/>
      </c>
      <c r="H84" s="19" t="str">
        <f t="shared" ca="1" si="25"/>
        <v/>
      </c>
      <c r="I84" s="17" t="str">
        <f ca="1">IF($E84="","",VLOOKUP(D84,WORKSHEET!$J$4:$AM$502,21,FALSE))</f>
        <v/>
      </c>
      <c r="J84" s="19" t="str">
        <f t="shared" ca="1" si="26"/>
        <v/>
      </c>
      <c r="K84" s="18" t="str">
        <f ca="1">IF($E84="","",VLOOKUP(D84,WORKSHEET!$J$4:$AM$502,23,FALSE))</f>
        <v/>
      </c>
      <c r="L84" s="17" t="str">
        <f ca="1">IF($E84="","",VLOOKUP(D84,WORKSHEET!$J$4:$AM$502,24,FALSE))</f>
        <v/>
      </c>
      <c r="M84" s="17" t="str">
        <f ca="1">IF($E84="","",VLOOKUP(D84,WORKSHEET!$J$4:$AM$502,25,FALSE))</f>
        <v/>
      </c>
      <c r="N84" s="17" t="str">
        <f t="shared" ca="1" si="27"/>
        <v/>
      </c>
      <c r="O84" s="20" t="str">
        <f t="shared" ca="1" si="28"/>
        <v/>
      </c>
      <c r="P84" s="21" t="str">
        <f ca="1">IF($E84="","",VLOOKUP(D84,WORKSHEET!$J$4:$AM$502,27,FALSE)+VLOOKUP(D84,WORKSHEET!$J$4:$AM$502,28,FALSE)+VLOOKUP(D84,WORKSHEET!$J$4:$AM$502,29,FALSE))</f>
        <v/>
      </c>
      <c r="Q84" s="20" t="str">
        <f t="shared" ca="1" si="29"/>
        <v/>
      </c>
    </row>
    <row r="85" spans="2:17" ht="17.149999999999999" customHeight="1" x14ac:dyDescent="0.35">
      <c r="B85" s="4" t="str">
        <f t="shared" si="30"/>
        <v>Dec 2025</v>
      </c>
      <c r="C85" s="4" t="s">
        <v>94</v>
      </c>
      <c r="D85" s="4" t="str">
        <f t="shared" si="24"/>
        <v>Dec 2025-WEST-67</v>
      </c>
      <c r="E85" s="60" t="str">
        <f ca="1">IFERROR(VLOOKUP(D85,WORKSHEET!$J$4:$AM$502,13,FALSE),"")</f>
        <v/>
      </c>
      <c r="F85" s="17" t="str">
        <f ca="1">IF($E85="","",VLOOKUP(D85,WORKSHEET!$J$4:$AM$502,14,FALSE))</f>
        <v/>
      </c>
      <c r="G85" s="18" t="str">
        <f ca="1">IF($E85="","",VLOOKUP(D85,WORKSHEET!$J$4:$AM$502,15,FALSE))</f>
        <v/>
      </c>
      <c r="H85" s="19" t="str">
        <f t="shared" ca="1" si="25"/>
        <v/>
      </c>
      <c r="I85" s="17" t="str">
        <f ca="1">IF($E85="","",VLOOKUP(D85,WORKSHEET!$J$4:$AM$502,21,FALSE))</f>
        <v/>
      </c>
      <c r="J85" s="19" t="str">
        <f t="shared" ca="1" si="26"/>
        <v/>
      </c>
      <c r="K85" s="18" t="str">
        <f ca="1">IF($E85="","",VLOOKUP(D85,WORKSHEET!$J$4:$AM$502,23,FALSE))</f>
        <v/>
      </c>
      <c r="L85" s="17" t="str">
        <f ca="1">IF($E85="","",VLOOKUP(D85,WORKSHEET!$J$4:$AM$502,24,FALSE))</f>
        <v/>
      </c>
      <c r="M85" s="17" t="str">
        <f ca="1">IF($E85="","",VLOOKUP(D85,WORKSHEET!$J$4:$AM$502,25,FALSE))</f>
        <v/>
      </c>
      <c r="N85" s="17" t="str">
        <f t="shared" ca="1" si="27"/>
        <v/>
      </c>
      <c r="O85" s="20" t="str">
        <f t="shared" ca="1" si="28"/>
        <v/>
      </c>
      <c r="P85" s="21" t="str">
        <f ca="1">IF($E85="","",VLOOKUP(D85,WORKSHEET!$J$4:$AM$502,27,FALSE)+VLOOKUP(D85,WORKSHEET!$J$4:$AM$502,28,FALSE)+VLOOKUP(D85,WORKSHEET!$J$4:$AM$502,29,FALSE))</f>
        <v/>
      </c>
      <c r="Q85" s="20" t="str">
        <f t="shared" ca="1" si="29"/>
        <v/>
      </c>
    </row>
    <row r="86" spans="2:17" ht="17.149999999999999" customHeight="1" x14ac:dyDescent="0.35">
      <c r="B86" s="4" t="str">
        <f t="shared" si="30"/>
        <v>Dec 2025</v>
      </c>
      <c r="C86" s="4" t="s">
        <v>95</v>
      </c>
      <c r="D86" s="4" t="str">
        <f t="shared" si="24"/>
        <v>Dec 2025-WEST-68</v>
      </c>
      <c r="E86" s="60" t="str">
        <f ca="1">IFERROR(VLOOKUP(D86,WORKSHEET!$J$4:$AM$502,13,FALSE),"")</f>
        <v/>
      </c>
      <c r="F86" s="17" t="str">
        <f ca="1">IF($E86="","",VLOOKUP(D86,WORKSHEET!$J$4:$AM$502,14,FALSE))</f>
        <v/>
      </c>
      <c r="G86" s="18" t="str">
        <f ca="1">IF($E86="","",VLOOKUP(D86,WORKSHEET!$J$4:$AM$502,15,FALSE))</f>
        <v/>
      </c>
      <c r="H86" s="19" t="str">
        <f t="shared" ca="1" si="25"/>
        <v/>
      </c>
      <c r="I86" s="17" t="str">
        <f ca="1">IF($E86="","",VLOOKUP(D86,WORKSHEET!$J$4:$AM$502,21,FALSE))</f>
        <v/>
      </c>
      <c r="J86" s="19" t="str">
        <f t="shared" ca="1" si="26"/>
        <v/>
      </c>
      <c r="K86" s="18" t="str">
        <f ca="1">IF($E86="","",VLOOKUP(D86,WORKSHEET!$J$4:$AM$502,23,FALSE))</f>
        <v/>
      </c>
      <c r="L86" s="17" t="str">
        <f ca="1">IF($E86="","",VLOOKUP(D86,WORKSHEET!$J$4:$AM$502,24,FALSE))</f>
        <v/>
      </c>
      <c r="M86" s="17" t="str">
        <f ca="1">IF($E86="","",VLOOKUP(D86,WORKSHEET!$J$4:$AM$502,25,FALSE))</f>
        <v/>
      </c>
      <c r="N86" s="17" t="str">
        <f t="shared" ca="1" si="27"/>
        <v/>
      </c>
      <c r="O86" s="20" t="str">
        <f t="shared" ca="1" si="28"/>
        <v/>
      </c>
      <c r="P86" s="21" t="str">
        <f ca="1">IF($E86="","",VLOOKUP(D86,WORKSHEET!$J$4:$AM$502,27,FALSE)+VLOOKUP(D86,WORKSHEET!$J$4:$AM$502,28,FALSE)+VLOOKUP(D86,WORKSHEET!$J$4:$AM$502,29,FALSE))</f>
        <v/>
      </c>
      <c r="Q86" s="20" t="str">
        <f t="shared" ca="1" si="29"/>
        <v/>
      </c>
    </row>
    <row r="87" spans="2:17" ht="17.149999999999999" customHeight="1" x14ac:dyDescent="0.35">
      <c r="B87" s="4" t="str">
        <f t="shared" si="30"/>
        <v>Dec 2025</v>
      </c>
      <c r="C87" s="4" t="s">
        <v>96</v>
      </c>
      <c r="D87" s="4" t="str">
        <f t="shared" si="24"/>
        <v>Dec 2025-WEST-69</v>
      </c>
      <c r="E87" s="60" t="str">
        <f ca="1">IFERROR(VLOOKUP(D87,WORKSHEET!$J$4:$AM$502,13,FALSE),"")</f>
        <v/>
      </c>
      <c r="F87" s="17" t="str">
        <f ca="1">IF($E87="","",VLOOKUP(D87,WORKSHEET!$J$4:$AM$502,14,FALSE))</f>
        <v/>
      </c>
      <c r="G87" s="18" t="str">
        <f ca="1">IF($E87="","",VLOOKUP(D87,WORKSHEET!$J$4:$AM$502,15,FALSE))</f>
        <v/>
      </c>
      <c r="H87" s="19" t="str">
        <f t="shared" ca="1" si="25"/>
        <v/>
      </c>
      <c r="I87" s="17" t="str">
        <f ca="1">IF($E87="","",VLOOKUP(D87,WORKSHEET!$J$4:$AM$502,21,FALSE))</f>
        <v/>
      </c>
      <c r="J87" s="19" t="str">
        <f t="shared" ca="1" si="26"/>
        <v/>
      </c>
      <c r="K87" s="18" t="str">
        <f ca="1">IF($E87="","",VLOOKUP(D87,WORKSHEET!$J$4:$AM$502,23,FALSE))</f>
        <v/>
      </c>
      <c r="L87" s="17" t="str">
        <f ca="1">IF($E87="","",VLOOKUP(D87,WORKSHEET!$J$4:$AM$502,24,FALSE))</f>
        <v/>
      </c>
      <c r="M87" s="17" t="str">
        <f ca="1">IF($E87="","",VLOOKUP(D87,WORKSHEET!$J$4:$AM$502,25,FALSE))</f>
        <v/>
      </c>
      <c r="N87" s="17" t="str">
        <f t="shared" ca="1" si="27"/>
        <v/>
      </c>
      <c r="O87" s="20" t="str">
        <f t="shared" ca="1" si="28"/>
        <v/>
      </c>
      <c r="P87" s="21" t="str">
        <f ca="1">IF($E87="","",VLOOKUP(D87,WORKSHEET!$J$4:$AM$502,27,FALSE)+VLOOKUP(D87,WORKSHEET!$J$4:$AM$502,28,FALSE)+VLOOKUP(D87,WORKSHEET!$J$4:$AM$502,29,FALSE))</f>
        <v/>
      </c>
      <c r="Q87" s="20" t="str">
        <f t="shared" ca="1" si="29"/>
        <v/>
      </c>
    </row>
    <row r="88" spans="2:17" ht="17.149999999999999" customHeight="1" x14ac:dyDescent="0.35">
      <c r="B88" s="4" t="str">
        <f t="shared" si="30"/>
        <v>Dec 2025</v>
      </c>
      <c r="C88" s="4" t="s">
        <v>97</v>
      </c>
      <c r="D88" s="4" t="str">
        <f t="shared" si="24"/>
        <v>Dec 2025-WEST-70</v>
      </c>
      <c r="E88" s="60" t="str">
        <f ca="1">IFERROR(VLOOKUP(D88,WORKSHEET!$J$4:$AM$502,13,FALSE),"")</f>
        <v/>
      </c>
      <c r="F88" s="17" t="str">
        <f ca="1">IF($E88="","",VLOOKUP(D88,WORKSHEET!$J$4:$AM$502,14,FALSE))</f>
        <v/>
      </c>
      <c r="G88" s="18" t="str">
        <f ca="1">IF($E88="","",VLOOKUP(D88,WORKSHEET!$J$4:$AM$502,15,FALSE))</f>
        <v/>
      </c>
      <c r="H88" s="19" t="str">
        <f t="shared" ca="1" si="25"/>
        <v/>
      </c>
      <c r="I88" s="17" t="str">
        <f ca="1">IF($E88="","",VLOOKUP(D88,WORKSHEET!$J$4:$AM$502,21,FALSE))</f>
        <v/>
      </c>
      <c r="J88" s="19" t="str">
        <f t="shared" ca="1" si="26"/>
        <v/>
      </c>
      <c r="K88" s="18" t="str">
        <f ca="1">IF($E88="","",VLOOKUP(D88,WORKSHEET!$J$4:$AM$502,23,FALSE))</f>
        <v/>
      </c>
      <c r="L88" s="17" t="str">
        <f ca="1">IF($E88="","",VLOOKUP(D88,WORKSHEET!$J$4:$AM$502,24,FALSE))</f>
        <v/>
      </c>
      <c r="M88" s="17" t="str">
        <f ca="1">IF($E88="","",VLOOKUP(D88,WORKSHEET!$J$4:$AM$502,25,FALSE))</f>
        <v/>
      </c>
      <c r="N88" s="17" t="str">
        <f t="shared" ca="1" si="27"/>
        <v/>
      </c>
      <c r="O88" s="20" t="str">
        <f t="shared" ca="1" si="28"/>
        <v/>
      </c>
      <c r="P88" s="21" t="str">
        <f ca="1">IF($E88="","",VLOOKUP(D88,WORKSHEET!$J$4:$AM$502,27,FALSE)+VLOOKUP(D88,WORKSHEET!$J$4:$AM$502,28,FALSE)+VLOOKUP(D88,WORKSHEET!$J$4:$AM$502,29,FALSE))</f>
        <v/>
      </c>
      <c r="Q88" s="20" t="str">
        <f t="shared" ca="1" si="29"/>
        <v/>
      </c>
    </row>
    <row r="89" spans="2:17" ht="17.149999999999999" customHeight="1" x14ac:dyDescent="0.3">
      <c r="E89" s="62"/>
    </row>
    <row r="90" spans="2:17" ht="17.149999999999999" customHeight="1" x14ac:dyDescent="0.3">
      <c r="E90" s="62"/>
    </row>
    <row r="91" spans="2:17" ht="17.149999999999999" customHeight="1" x14ac:dyDescent="0.3"/>
    <row r="92" spans="2:17" ht="17.149999999999999" customHeight="1" x14ac:dyDescent="0.3"/>
    <row r="93" spans="2:17" ht="17.149999999999999" customHeight="1" x14ac:dyDescent="0.3"/>
    <row r="94" spans="2:17" ht="17.149999999999999" customHeight="1" x14ac:dyDescent="0.3"/>
    <row r="95" spans="2:17" ht="17.149999999999999" customHeight="1" x14ac:dyDescent="0.3"/>
    <row r="96" spans="2:17" ht="17.149999999999999" customHeight="1" x14ac:dyDescent="0.3"/>
    <row r="97" ht="17.149999999999999" customHeight="1" x14ac:dyDescent="0.3"/>
    <row r="98" ht="17.149999999999999" customHeight="1" x14ac:dyDescent="0.3"/>
    <row r="99" ht="17.149999999999999" customHeight="1" x14ac:dyDescent="0.3"/>
    <row r="100" ht="17.149999999999999" customHeight="1" x14ac:dyDescent="0.3"/>
  </sheetData>
  <sortState xmlns:xlrd2="http://schemas.microsoft.com/office/spreadsheetml/2017/richdata2" ref="D19:D71">
    <sortCondition ref="D19:D71"/>
  </sortState>
  <mergeCells count="7">
    <mergeCell ref="F4:H4"/>
    <mergeCell ref="I4:Q4"/>
    <mergeCell ref="G6:H6"/>
    <mergeCell ref="I6:J6"/>
    <mergeCell ref="K6:O6"/>
    <mergeCell ref="P6:Q6"/>
    <mergeCell ref="E6:F6"/>
  </mergeCells>
  <phoneticPr fontId="5" type="noConversion"/>
  <conditionalFormatting sqref="E19:Q88">
    <cfRule type="cellIs" dxfId="68" priority="1" stopIfTrue="1" operator="equal">
      <formula>""</formula>
    </cfRule>
  </conditionalFormatting>
  <conditionalFormatting sqref="H8:H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:H88">
    <cfRule type="cellIs" dxfId="67" priority="15" operator="equal">
      <formula>"""-"""</formula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:J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:J88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0" orientation="portrait" r:id="rId1"/>
  <ignoredErrors>
    <ignoredError sqref="H17:O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F0A14C-5370-BB48-B0E7-391676E4082C}">
          <x14:formula1>
            <xm:f>WORKSHEET!$W$1:$AB$1</xm:f>
          </x14:formula1>
          <xm:sqref>F4:H4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08"/>
  <sheetViews>
    <sheetView showGridLines="0" workbookViewId="0">
      <selection activeCell="C1" sqref="B1:C1048576"/>
    </sheetView>
  </sheetViews>
  <sheetFormatPr defaultColWidth="8.81640625" defaultRowHeight="14" x14ac:dyDescent="0.3"/>
  <cols>
    <col min="1" max="1" width="2.81640625" style="4" customWidth="1"/>
    <col min="2" max="2" width="2.81640625" style="4" hidden="1" customWidth="1"/>
    <col min="3" max="3" width="14.453125" style="6" hidden="1" customWidth="1"/>
    <col min="4" max="4" width="32.81640625" style="4" bestFit="1" customWidth="1"/>
    <col min="5" max="9" width="13.453125" style="4" customWidth="1"/>
    <col min="10" max="12" width="12.81640625" style="4" hidden="1" customWidth="1"/>
    <col min="13" max="16" width="12.81640625" style="4" customWidth="1"/>
    <col min="17" max="17" width="14.81640625" style="4" hidden="1" customWidth="1"/>
    <col min="18" max="16384" width="8.81640625" style="4"/>
  </cols>
  <sheetData>
    <row r="2" spans="2:21" ht="25" x14ac:dyDescent="0.5">
      <c r="C2" s="4"/>
      <c r="D2" s="5" t="s">
        <v>98</v>
      </c>
    </row>
    <row r="4" spans="2:21" s="8" customFormat="1" ht="20.149999999999999" customHeight="1" x14ac:dyDescent="0.4">
      <c r="C4" s="23"/>
      <c r="D4" s="98" t="str">
        <f>WORKSHEET!W1</f>
        <v>Dec 2025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40"/>
      <c r="Q4" s="24"/>
    </row>
    <row r="5" spans="2:21" ht="80.150000000000006" customHeight="1" x14ac:dyDescent="0.35">
      <c r="D5" s="102" t="str">
        <f>"(Data pulled "&amp;WORKSHEET!V1&amp;")"</f>
        <v>(Data pulled 1/05/2026 @ 9:30am)</v>
      </c>
      <c r="E5" s="102"/>
      <c r="F5" s="89" t="s">
        <v>4</v>
      </c>
      <c r="G5" s="90"/>
      <c r="H5" s="91" t="s">
        <v>5</v>
      </c>
      <c r="I5" s="103"/>
      <c r="J5" s="104" t="s">
        <v>6</v>
      </c>
      <c r="K5" s="94"/>
      <c r="L5" s="94"/>
      <c r="M5" s="94"/>
      <c r="N5" s="94"/>
      <c r="O5" s="95" t="s">
        <v>7</v>
      </c>
      <c r="P5" s="105"/>
      <c r="Q5" s="106" t="s">
        <v>99</v>
      </c>
      <c r="R5" s="26"/>
      <c r="S5" s="26"/>
      <c r="T5" s="26"/>
      <c r="U5" s="26"/>
    </row>
    <row r="6" spans="2:21" ht="32.15" customHeight="1" x14ac:dyDescent="0.3">
      <c r="D6" s="9" t="s">
        <v>100</v>
      </c>
      <c r="E6" s="10" t="s">
        <v>9</v>
      </c>
      <c r="F6" s="11" t="s">
        <v>10</v>
      </c>
      <c r="G6" s="12" t="s">
        <v>11</v>
      </c>
      <c r="H6" s="13" t="s">
        <v>12</v>
      </c>
      <c r="I6" s="12" t="s">
        <v>11</v>
      </c>
      <c r="J6" s="11" t="s">
        <v>13</v>
      </c>
      <c r="K6" s="13" t="s">
        <v>14</v>
      </c>
      <c r="L6" s="13" t="s">
        <v>15</v>
      </c>
      <c r="M6" s="13" t="s">
        <v>16</v>
      </c>
      <c r="N6" s="14" t="s">
        <v>11</v>
      </c>
      <c r="O6" s="10" t="s">
        <v>17</v>
      </c>
      <c r="P6" s="15" t="s">
        <v>11</v>
      </c>
      <c r="Q6" s="106"/>
    </row>
    <row r="7" spans="2:21" x14ac:dyDescent="0.3">
      <c r="C7" s="6" t="s">
        <v>101</v>
      </c>
      <c r="D7" s="101" t="str">
        <f>C7</f>
        <v>Acura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25"/>
    </row>
    <row r="8" spans="2:21" ht="15.5" x14ac:dyDescent="0.35">
      <c r="B8" s="4">
        <v>1</v>
      </c>
      <c r="C8" s="6" t="str">
        <f>C7&amp;"-"&amp;B8</f>
        <v>Acura-1</v>
      </c>
      <c r="D8" s="16" t="str">
        <f>IFERROR(VLOOKUP(C8,WORKSHEET!$O$4:$AM$74,8,FALSE),"")</f>
        <v>Acura North Scottsdale</v>
      </c>
      <c r="E8" s="17">
        <f>IF(D8="","",VLOOKUP(C8,WORKSHEET!$O$4:$AM$74,9,FALSE))</f>
        <v>11</v>
      </c>
      <c r="F8" s="18">
        <f>IF(D8="","",VLOOKUP(C8,WORKSHEET!$O$4:$AM$74,10,FALSE))</f>
        <v>5</v>
      </c>
      <c r="G8" s="27">
        <f>IF(D8="","",IFERROR(F8/E8,0))</f>
        <v>0.45454545454545453</v>
      </c>
      <c r="H8" s="17">
        <f>IF(D8="","",VLOOKUP(C8,WORKSHEET!$O$4:$AM$74,16,FALSE))</f>
        <v>7</v>
      </c>
      <c r="I8" s="19">
        <f>IF(D8="","",IFERROR(H8/E8,0))</f>
        <v>0.63636363636363635</v>
      </c>
      <c r="J8" s="18">
        <f>IF(D8="","",VLOOKUP(C8,WORKSHEET!$O$4:$AM$74,18,FALSE))</f>
        <v>1</v>
      </c>
      <c r="K8" s="17">
        <f>IF(D8="","",VLOOKUP(C8,WORKSHEET!$O$4:$AM$74,19,FALSE))</f>
        <v>0</v>
      </c>
      <c r="L8" s="17">
        <f>IF(D8="","",VLOOKUP(C8,WORKSHEET!$O$4:$AM$74,20,FALSE))</f>
        <v>0</v>
      </c>
      <c r="M8" s="17">
        <f>IF(D8="","",SUM(J8:L8))</f>
        <v>1</v>
      </c>
      <c r="N8" s="20">
        <f>IF(D8="","",IFERROR(SUM(J8:L8)/E8,0))</f>
        <v>9.0909090909090912E-2</v>
      </c>
      <c r="O8" s="21">
        <f>IF(D8="","",VLOOKUP(C8,WORKSHEET!$O$4:$AM$74,22,FALSE)+VLOOKUP(C8,WORKSHEET!$O$4:$AM$74,23,FALSE)+VLOOKUP(C8,WORKSHEET!$O$4:$AM$74,24,FALSE))</f>
        <v>3</v>
      </c>
      <c r="P8" s="20">
        <f>IF(D8="","",IFERROR(O8/E8,0))</f>
        <v>0.27272727272727271</v>
      </c>
      <c r="Q8" s="100">
        <v>0.56000000000000005</v>
      </c>
    </row>
    <row r="9" spans="2:21" ht="15.5" x14ac:dyDescent="0.35">
      <c r="B9" s="4">
        <v>2</v>
      </c>
      <c r="C9" s="6" t="str">
        <f>C7&amp;"-"&amp;B9</f>
        <v>Acura-2</v>
      </c>
      <c r="D9" s="16" t="str">
        <f>IFERROR(VLOOKUP(C9,WORKSHEET!$O$4:$AM$74,8,FALSE),"")</f>
        <v>Capitol Acura</v>
      </c>
      <c r="E9" s="17">
        <f>IF(D9="","",VLOOKUP(C9,WORKSHEET!$O$4:$AM$74,9,FALSE))</f>
        <v>9</v>
      </c>
      <c r="F9" s="18">
        <f>IF(D9="","",VLOOKUP(C9,WORKSHEET!$O$4:$AM$74,10,FALSE))</f>
        <v>4</v>
      </c>
      <c r="G9" s="27">
        <f t="shared" ref="G9:G10" si="0">IF(D9="","",IFERROR(F9/E9,0))</f>
        <v>0.44444444444444442</v>
      </c>
      <c r="H9" s="17">
        <f>IF(D9="","",VLOOKUP(C9,WORKSHEET!$O$4:$AM$74,16,FALSE))</f>
        <v>8</v>
      </c>
      <c r="I9" s="19">
        <f t="shared" ref="I9:I10" si="1">IF(D9="","",IFERROR(H9/E9,0))</f>
        <v>0.88888888888888884</v>
      </c>
      <c r="J9" s="18">
        <f>IF(D9="","",VLOOKUP(C9,WORKSHEET!$O$4:$AM$74,18,FALSE))</f>
        <v>0</v>
      </c>
      <c r="K9" s="17">
        <f>IF(D9="","",VLOOKUP(C9,WORKSHEET!$O$4:$AM$74,19,FALSE))</f>
        <v>0</v>
      </c>
      <c r="L9" s="17">
        <f>IF(D9="","",VLOOKUP(C9,WORKSHEET!$O$4:$AM$74,20,FALSE))</f>
        <v>0</v>
      </c>
      <c r="M9" s="17">
        <f t="shared" ref="M9:M10" si="2">IF(D9="","",SUM(J9:L9))</f>
        <v>0</v>
      </c>
      <c r="N9" s="20">
        <f t="shared" ref="N9:N10" si="3">IF(D9="","",IFERROR(SUM(J9:L9)/E9,0))</f>
        <v>0</v>
      </c>
      <c r="O9" s="21">
        <f>IF(D9="","",VLOOKUP(C9,WORKSHEET!$O$4:$AM$74,22,FALSE)+VLOOKUP(C9,WORKSHEET!$O$4:$AM$74,23,FALSE)+VLOOKUP(C9,WORKSHEET!$O$4:$AM$74,24,FALSE))</f>
        <v>1</v>
      </c>
      <c r="P9" s="20">
        <f t="shared" ref="P9:P10" si="4">IF(D9="","",IFERROR(O9/E9,0))</f>
        <v>0.1111111111111111</v>
      </c>
      <c r="Q9" s="100"/>
    </row>
    <row r="10" spans="2:21" ht="15.5" x14ac:dyDescent="0.35">
      <c r="B10" s="4">
        <v>3</v>
      </c>
      <c r="C10" s="6" t="str">
        <f>C7&amp;"-"&amp;B10</f>
        <v>Acura-3</v>
      </c>
      <c r="D10" s="16" t="str">
        <f>IFERROR(VLOOKUP(C10,WORKSHEET!$O$4:$AM$74,8,FALSE),"")</f>
        <v>Acura of Escondido</v>
      </c>
      <c r="E10" s="17">
        <f>IF(D10="","",VLOOKUP(C10,WORKSHEET!$O$4:$AM$74,9,FALSE))</f>
        <v>9</v>
      </c>
      <c r="F10" s="18">
        <f>IF(D10="","",VLOOKUP(C10,WORKSHEET!$O$4:$AM$74,10,FALSE))</f>
        <v>1</v>
      </c>
      <c r="G10" s="27">
        <f t="shared" si="0"/>
        <v>0.1111111111111111</v>
      </c>
      <c r="H10" s="17">
        <f>IF(D10="","",VLOOKUP(C10,WORKSHEET!$O$4:$AM$74,16,FALSE))</f>
        <v>4</v>
      </c>
      <c r="I10" s="19">
        <f t="shared" si="1"/>
        <v>0.44444444444444442</v>
      </c>
      <c r="J10" s="18">
        <f>IF(D10="","",VLOOKUP(C10,WORKSHEET!$O$4:$AM$74,18,FALSE))</f>
        <v>0</v>
      </c>
      <c r="K10" s="17">
        <f>IF(D10="","",VLOOKUP(C10,WORKSHEET!$O$4:$AM$74,19,FALSE))</f>
        <v>0</v>
      </c>
      <c r="L10" s="17">
        <f>IF(D10="","",VLOOKUP(C10,WORKSHEET!$O$4:$AM$74,20,FALSE))</f>
        <v>0</v>
      </c>
      <c r="M10" s="17">
        <f t="shared" si="2"/>
        <v>0</v>
      </c>
      <c r="N10" s="20">
        <f t="shared" si="3"/>
        <v>0</v>
      </c>
      <c r="O10" s="21">
        <f>IF(D10="","",VLOOKUP(C10,WORKSHEET!$O$4:$AM$74,22,FALSE)+VLOOKUP(C10,WORKSHEET!$O$4:$AM$74,23,FALSE)+VLOOKUP(C10,WORKSHEET!$O$4:$AM$74,24,FALSE))</f>
        <v>5</v>
      </c>
      <c r="P10" s="20">
        <f t="shared" si="4"/>
        <v>0.55555555555555558</v>
      </c>
      <c r="Q10" s="100"/>
    </row>
    <row r="11" spans="2:21" s="6" customFormat="1" ht="15.5" x14ac:dyDescent="0.35">
      <c r="D11" s="28" t="s">
        <v>102</v>
      </c>
      <c r="E11" s="29">
        <f>SUM(E8:E10)</f>
        <v>29</v>
      </c>
      <c r="F11" s="30">
        <f>SUM(F8:F10)</f>
        <v>10</v>
      </c>
      <c r="G11" s="27">
        <f>IFERROR(F11/E11,0)</f>
        <v>0.34482758620689657</v>
      </c>
      <c r="H11" s="30">
        <f>SUM(H8:H10)</f>
        <v>19</v>
      </c>
      <c r="I11" s="19">
        <f>IFERROR(H11/E11,0)</f>
        <v>0.65517241379310343</v>
      </c>
      <c r="J11" s="30">
        <f>SUM(J8:J10)</f>
        <v>1</v>
      </c>
      <c r="K11" s="30">
        <f>SUM(K8:K10)</f>
        <v>0</v>
      </c>
      <c r="L11" s="30">
        <f>SUM(L8:L10)</f>
        <v>0</v>
      </c>
      <c r="M11" s="30">
        <f t="shared" ref="M11" si="5">SUM(J11:L11)</f>
        <v>1</v>
      </c>
      <c r="N11" s="31">
        <f>IFERROR(SUM(J11:L11)/E11,0)</f>
        <v>3.4482758620689655E-2</v>
      </c>
      <c r="O11" s="30">
        <f>SUM(O8:O10)</f>
        <v>9</v>
      </c>
      <c r="P11" s="31">
        <f>IFERROR(O11/E11,0)</f>
        <v>0.31034482758620691</v>
      </c>
      <c r="Q11" s="100"/>
    </row>
    <row r="12" spans="2:21" x14ac:dyDescent="0.3">
      <c r="C12" s="6" t="s">
        <v>103</v>
      </c>
      <c r="D12" s="101" t="str">
        <f>C12</f>
        <v>Audi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25"/>
    </row>
    <row r="13" spans="2:21" ht="15.5" x14ac:dyDescent="0.35">
      <c r="B13" s="4">
        <v>1</v>
      </c>
      <c r="C13" s="6" t="str">
        <f>C12&amp;"-"&amp;B13</f>
        <v>Audi-1</v>
      </c>
      <c r="D13" s="16" t="str">
        <f>IFERROR(VLOOKUP(C13,WORKSHEET!$O$4:$AM$74,8,FALSE),"")</f>
        <v>Audi North OC</v>
      </c>
      <c r="E13" s="17">
        <f>IF(D13="","",VLOOKUP(C13,WORKSHEET!$O$4:$AM$74,9,FALSE))</f>
        <v>16</v>
      </c>
      <c r="F13" s="18">
        <f>IF(D13="","",VLOOKUP(C13,WORKSHEET!$O$4:$AM$74,10,FALSE))</f>
        <v>5</v>
      </c>
      <c r="G13" s="27">
        <f t="shared" ref="G13:G18" si="6">IF(D13="","",IFERROR(F13/E13,0))</f>
        <v>0.3125</v>
      </c>
      <c r="H13" s="17">
        <f>IF(D13="","",VLOOKUP(C13,WORKSHEET!$O$4:$AM$74,16,FALSE))</f>
        <v>8</v>
      </c>
      <c r="I13" s="19">
        <f t="shared" ref="I13:I18" si="7">IF(D13="","",IFERROR(H13/E13,0))</f>
        <v>0.5</v>
      </c>
      <c r="J13" s="18">
        <f>IF(D13="","",VLOOKUP(C13,WORKSHEET!$O$4:$AM$74,18,FALSE))</f>
        <v>0</v>
      </c>
      <c r="K13" s="17">
        <f>IF(D13="","",VLOOKUP(C13,WORKSHEET!$O$4:$AM$74,19,FALSE))</f>
        <v>0</v>
      </c>
      <c r="L13" s="17">
        <f>IF(D13="","",VLOOKUP(C13,WORKSHEET!$O$4:$AM$74,20,FALSE))</f>
        <v>0</v>
      </c>
      <c r="M13" s="17">
        <f t="shared" ref="M13:M18" si="8">IF(D13="","",SUM(J13:L13))</f>
        <v>0</v>
      </c>
      <c r="N13" s="20">
        <f t="shared" ref="N13:N18" si="9">IF(D13="","",IFERROR(SUM(J13:L13)/E13,0))</f>
        <v>0</v>
      </c>
      <c r="O13" s="21">
        <f>IF(D13="","",VLOOKUP(C13,WORKSHEET!$O$4:$AM$74,22,FALSE)+VLOOKUP(C13,WORKSHEET!$O$4:$AM$74,23,FALSE)+VLOOKUP(C13,WORKSHEET!$O$4:$AM$74,24,FALSE))</f>
        <v>8</v>
      </c>
      <c r="P13" s="20">
        <f t="shared" ref="P13:P18" si="10">IF(D13="","",IFERROR(O13/E13,0))</f>
        <v>0.5</v>
      </c>
      <c r="Q13" s="99">
        <v>0.54</v>
      </c>
    </row>
    <row r="14" spans="2:21" ht="15.5" x14ac:dyDescent="0.35">
      <c r="B14" s="4">
        <v>2</v>
      </c>
      <c r="C14" s="6" t="str">
        <f>C12&amp;"-"&amp;B14</f>
        <v>Audi-2</v>
      </c>
      <c r="D14" s="16" t="str">
        <f>IFERROR(VLOOKUP(C14,WORKSHEET!$O$4:$AM$74,8,FALSE),"")</f>
        <v>Audi Escondido</v>
      </c>
      <c r="E14" s="17">
        <f>IF(D14="","",VLOOKUP(C14,WORKSHEET!$O$4:$AM$74,9,FALSE))</f>
        <v>10</v>
      </c>
      <c r="F14" s="18">
        <f>IF(D14="","",VLOOKUP(C14,WORKSHEET!$O$4:$AM$74,10,FALSE))</f>
        <v>3</v>
      </c>
      <c r="G14" s="27">
        <f t="shared" si="6"/>
        <v>0.3</v>
      </c>
      <c r="H14" s="17">
        <f>IF(D14="","",VLOOKUP(C14,WORKSHEET!$O$4:$AM$74,16,FALSE))</f>
        <v>8</v>
      </c>
      <c r="I14" s="19">
        <f t="shared" si="7"/>
        <v>0.8</v>
      </c>
      <c r="J14" s="18">
        <f>IF(D14="","",VLOOKUP(C14,WORKSHEET!$O$4:$AM$74,18,FALSE))</f>
        <v>0</v>
      </c>
      <c r="K14" s="17">
        <f>IF(D14="","",VLOOKUP(C14,WORKSHEET!$O$4:$AM$74,19,FALSE))</f>
        <v>0</v>
      </c>
      <c r="L14" s="17">
        <f>IF(D14="","",VLOOKUP(C14,WORKSHEET!$O$4:$AM$74,20,FALSE))</f>
        <v>1</v>
      </c>
      <c r="M14" s="17">
        <f t="shared" si="8"/>
        <v>1</v>
      </c>
      <c r="N14" s="20">
        <f t="shared" si="9"/>
        <v>0.1</v>
      </c>
      <c r="O14" s="21">
        <f>IF(D14="","",VLOOKUP(C14,WORKSHEET!$O$4:$AM$74,22,FALSE)+VLOOKUP(C14,WORKSHEET!$O$4:$AM$74,23,FALSE)+VLOOKUP(C14,WORKSHEET!$O$4:$AM$74,24,FALSE))</f>
        <v>1</v>
      </c>
      <c r="P14" s="20">
        <f t="shared" si="10"/>
        <v>0.1</v>
      </c>
      <c r="Q14" s="99"/>
    </row>
    <row r="15" spans="2:21" ht="15.5" x14ac:dyDescent="0.35">
      <c r="B15" s="4">
        <v>3</v>
      </c>
      <c r="C15" s="6" t="str">
        <f>C12&amp;"-"&amp;B15</f>
        <v>Audi-3</v>
      </c>
      <c r="D15" s="16" t="str">
        <f>IFERROR(VLOOKUP(C15,WORKSHEET!$O$4:$AM$74,8,FALSE),"")</f>
        <v>Audi Chandler</v>
      </c>
      <c r="E15" s="17">
        <f>IF(D15="","",VLOOKUP(C15,WORKSHEET!$O$4:$AM$74,9,FALSE))</f>
        <v>7</v>
      </c>
      <c r="F15" s="18">
        <f>IF(D15="","",VLOOKUP(C15,WORKSHEET!$O$4:$AM$74,10,FALSE))</f>
        <v>2</v>
      </c>
      <c r="G15" s="27">
        <f t="shared" si="6"/>
        <v>0.2857142857142857</v>
      </c>
      <c r="H15" s="17">
        <f>IF(D15="","",VLOOKUP(C15,WORKSHEET!$O$4:$AM$74,16,FALSE))</f>
        <v>4</v>
      </c>
      <c r="I15" s="19">
        <f t="shared" si="7"/>
        <v>0.5714285714285714</v>
      </c>
      <c r="J15" s="18">
        <f>IF(D15="","",VLOOKUP(C15,WORKSHEET!$O$4:$AM$74,18,FALSE))</f>
        <v>0</v>
      </c>
      <c r="K15" s="17">
        <f>IF(D15="","",VLOOKUP(C15,WORKSHEET!$O$4:$AM$74,19,FALSE))</f>
        <v>0</v>
      </c>
      <c r="L15" s="17">
        <f>IF(D15="","",VLOOKUP(C15,WORKSHEET!$O$4:$AM$74,20,FALSE))</f>
        <v>0</v>
      </c>
      <c r="M15" s="17">
        <f t="shared" si="8"/>
        <v>0</v>
      </c>
      <c r="N15" s="20">
        <f t="shared" si="9"/>
        <v>0</v>
      </c>
      <c r="O15" s="21">
        <f>IF(D15="","",VLOOKUP(C15,WORKSHEET!$O$4:$AM$74,22,FALSE)+VLOOKUP(C15,WORKSHEET!$O$4:$AM$74,23,FALSE)+VLOOKUP(C15,WORKSHEET!$O$4:$AM$74,24,FALSE))</f>
        <v>3</v>
      </c>
      <c r="P15" s="20">
        <f t="shared" si="10"/>
        <v>0.42857142857142855</v>
      </c>
      <c r="Q15" s="99"/>
    </row>
    <row r="16" spans="2:21" ht="17.149999999999999" customHeight="1" x14ac:dyDescent="0.35">
      <c r="B16" s="4">
        <v>4</v>
      </c>
      <c r="C16" s="6" t="str">
        <f>C12&amp;"-"&amp;B16</f>
        <v>Audi-4</v>
      </c>
      <c r="D16" s="16" t="str">
        <f>IFERROR(VLOOKUP(C16,WORKSHEET!$O$4:$AM$74,8,FALSE),"")</f>
        <v>Audi South Coast</v>
      </c>
      <c r="E16" s="17">
        <f>IF(D16="","",VLOOKUP(C16,WORKSHEET!$O$4:$AM$74,9,FALSE))</f>
        <v>51</v>
      </c>
      <c r="F16" s="18">
        <f>IF(D16="","",VLOOKUP(C16,WORKSHEET!$O$4:$AM$74,10,FALSE))</f>
        <v>12</v>
      </c>
      <c r="G16" s="27">
        <f t="shared" si="6"/>
        <v>0.23529411764705882</v>
      </c>
      <c r="H16" s="17">
        <f>IF(D16="","",VLOOKUP(C16,WORKSHEET!$O$4:$AM$74,16,FALSE))</f>
        <v>26</v>
      </c>
      <c r="I16" s="19">
        <f t="shared" si="7"/>
        <v>0.50980392156862742</v>
      </c>
      <c r="J16" s="18">
        <f>IF(D16="","",VLOOKUP(C16,WORKSHEET!$O$4:$AM$74,18,FALSE))</f>
        <v>0</v>
      </c>
      <c r="K16" s="17">
        <f>IF(D16="","",VLOOKUP(C16,WORKSHEET!$O$4:$AM$74,19,FALSE))</f>
        <v>0</v>
      </c>
      <c r="L16" s="17">
        <f>IF(D16="","",VLOOKUP(C16,WORKSHEET!$O$4:$AM$74,20,FALSE))</f>
        <v>0</v>
      </c>
      <c r="M16" s="17">
        <f t="shared" si="8"/>
        <v>0</v>
      </c>
      <c r="N16" s="20">
        <f t="shared" si="9"/>
        <v>0</v>
      </c>
      <c r="O16" s="21">
        <f>IF(D16="","",VLOOKUP(C16,WORKSHEET!$O$4:$AM$74,22,FALSE)+VLOOKUP(C16,WORKSHEET!$O$4:$AM$74,23,FALSE)+VLOOKUP(C16,WORKSHEET!$O$4:$AM$74,24,FALSE))</f>
        <v>25</v>
      </c>
      <c r="P16" s="20">
        <f t="shared" si="10"/>
        <v>0.49019607843137253</v>
      </c>
      <c r="Q16" s="99"/>
    </row>
    <row r="17" spans="2:17" ht="15.5" x14ac:dyDescent="0.35">
      <c r="B17" s="4">
        <v>5</v>
      </c>
      <c r="C17" s="6" t="str">
        <f>C12&amp;"-"&amp;B17</f>
        <v>Audi-5</v>
      </c>
      <c r="D17" s="16" t="str">
        <f>IFERROR(VLOOKUP(C17,WORKSHEET!$O$4:$AM$74,8,FALSE),"")</f>
        <v>Audi San Jose</v>
      </c>
      <c r="E17" s="17">
        <f>IF(D17="","",VLOOKUP(C17,WORKSHEET!$O$4:$AM$74,9,FALSE))</f>
        <v>53</v>
      </c>
      <c r="F17" s="18">
        <f>IF(D17="","",VLOOKUP(C17,WORKSHEET!$O$4:$AM$74,10,FALSE))</f>
        <v>11</v>
      </c>
      <c r="G17" s="27">
        <f t="shared" ref="G17" si="11">IF(D17="","",IFERROR(F17/E17,0))</f>
        <v>0.20754716981132076</v>
      </c>
      <c r="H17" s="17">
        <f>IF(D17="","",VLOOKUP(C17,WORKSHEET!$O$4:$AM$74,16,FALSE))</f>
        <v>25</v>
      </c>
      <c r="I17" s="19">
        <f t="shared" ref="I17" si="12">IF(D17="","",IFERROR(H17/E17,0))</f>
        <v>0.47169811320754718</v>
      </c>
      <c r="J17" s="18">
        <f>IF(D17="","",VLOOKUP(C17,WORKSHEET!$O$4:$AM$74,18,FALSE))</f>
        <v>0</v>
      </c>
      <c r="K17" s="17">
        <f>IF(D17="","",VLOOKUP(C17,WORKSHEET!$O$4:$AM$74,19,FALSE))</f>
        <v>0</v>
      </c>
      <c r="L17" s="17">
        <f>IF(D17="","",VLOOKUP(C17,WORKSHEET!$O$4:$AM$74,20,FALSE))</f>
        <v>0</v>
      </c>
      <c r="M17" s="17">
        <f t="shared" ref="M17" si="13">IF(D17="","",SUM(J17:L17))</f>
        <v>0</v>
      </c>
      <c r="N17" s="20">
        <f t="shared" ref="N17" si="14">IF(D17="","",IFERROR(SUM(J17:L17)/E17,0))</f>
        <v>0</v>
      </c>
      <c r="O17" s="21">
        <f>IF(D17="","",VLOOKUP(C17,WORKSHEET!$O$4:$AM$74,22,FALSE)+VLOOKUP(C17,WORKSHEET!$O$4:$AM$74,23,FALSE)+VLOOKUP(C17,WORKSHEET!$O$4:$AM$74,24,FALSE))</f>
        <v>28</v>
      </c>
      <c r="P17" s="20">
        <f t="shared" ref="P17" si="15">IF(D17="","",IFERROR(O17/E17,0))</f>
        <v>0.52830188679245282</v>
      </c>
      <c r="Q17" s="99"/>
    </row>
    <row r="18" spans="2:17" ht="15.5" x14ac:dyDescent="0.35">
      <c r="B18" s="4">
        <v>6</v>
      </c>
      <c r="C18" s="6" t="str">
        <f>C12&amp;"-"&amp;B18</f>
        <v>Audi-6</v>
      </c>
      <c r="D18" s="16" t="str">
        <f>IFERROR(VLOOKUP(C18,WORKSHEET!$O$4:$AM$74,8,FALSE),"")</f>
        <v>Audi North Scottsdale</v>
      </c>
      <c r="E18" s="17">
        <f>IF(D18="","",VLOOKUP(C18,WORKSHEET!$O$4:$AM$74,9,FALSE))</f>
        <v>20</v>
      </c>
      <c r="F18" s="18">
        <f>IF(D18="","",VLOOKUP(C18,WORKSHEET!$O$4:$AM$74,10,FALSE))</f>
        <v>4</v>
      </c>
      <c r="G18" s="27">
        <f t="shared" si="6"/>
        <v>0.2</v>
      </c>
      <c r="H18" s="17">
        <f>IF(D18="","",VLOOKUP(C18,WORKSHEET!$O$4:$AM$74,16,FALSE))</f>
        <v>8</v>
      </c>
      <c r="I18" s="19">
        <f t="shared" si="7"/>
        <v>0.4</v>
      </c>
      <c r="J18" s="18">
        <f>IF(D18="","",VLOOKUP(C18,WORKSHEET!$O$4:$AM$74,18,FALSE))</f>
        <v>6</v>
      </c>
      <c r="K18" s="17">
        <f>IF(D18="","",VLOOKUP(C18,WORKSHEET!$O$4:$AM$74,19,FALSE))</f>
        <v>1</v>
      </c>
      <c r="L18" s="17">
        <f>IF(D18="","",VLOOKUP(C18,WORKSHEET!$O$4:$AM$74,20,FALSE))</f>
        <v>0</v>
      </c>
      <c r="M18" s="17">
        <f t="shared" si="8"/>
        <v>7</v>
      </c>
      <c r="N18" s="20">
        <f t="shared" si="9"/>
        <v>0.35</v>
      </c>
      <c r="O18" s="21">
        <f>IF(D18="","",VLOOKUP(C18,WORKSHEET!$O$4:$AM$74,22,FALSE)+VLOOKUP(C18,WORKSHEET!$O$4:$AM$74,23,FALSE)+VLOOKUP(C18,WORKSHEET!$O$4:$AM$74,24,FALSE))</f>
        <v>5</v>
      </c>
      <c r="P18" s="20">
        <f t="shared" si="10"/>
        <v>0.25</v>
      </c>
      <c r="Q18" s="99"/>
    </row>
    <row r="19" spans="2:17" s="6" customFormat="1" ht="15.5" x14ac:dyDescent="0.35">
      <c r="D19" s="28" t="s">
        <v>102</v>
      </c>
      <c r="E19" s="29">
        <f>SUM(E13:E18)</f>
        <v>157</v>
      </c>
      <c r="F19" s="30">
        <f>SUM(F13:F18)</f>
        <v>37</v>
      </c>
      <c r="G19" s="27">
        <f>IFERROR(F19/E19,0)</f>
        <v>0.2356687898089172</v>
      </c>
      <c r="H19" s="30">
        <f>SUM(H13:H18)</f>
        <v>79</v>
      </c>
      <c r="I19" s="19">
        <f>IFERROR(H19/E19,0)</f>
        <v>0.50318471337579618</v>
      </c>
      <c r="J19" s="30">
        <f t="shared" ref="J19:L19" si="16">SUM(J13:J18)</f>
        <v>6</v>
      </c>
      <c r="K19" s="30">
        <f t="shared" si="16"/>
        <v>1</v>
      </c>
      <c r="L19" s="30">
        <f t="shared" si="16"/>
        <v>1</v>
      </c>
      <c r="M19" s="30">
        <f t="shared" ref="M19" si="17">SUM(J19:L19)</f>
        <v>8</v>
      </c>
      <c r="N19" s="31">
        <f>IFERROR(SUM(J19:L19)/E19,0)</f>
        <v>5.0955414012738856E-2</v>
      </c>
      <c r="O19" s="30">
        <f>SUM(O13:O18)</f>
        <v>70</v>
      </c>
      <c r="P19" s="31">
        <f>IFERROR(O19/E19,0)</f>
        <v>0.44585987261146498</v>
      </c>
      <c r="Q19" s="99"/>
    </row>
    <row r="20" spans="2:17" x14ac:dyDescent="0.3">
      <c r="C20" s="6" t="s">
        <v>104</v>
      </c>
      <c r="D20" s="101" t="str">
        <f>C20</f>
        <v>BMW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25"/>
    </row>
    <row r="21" spans="2:17" ht="15.5" x14ac:dyDescent="0.35">
      <c r="B21" s="4">
        <v>1</v>
      </c>
      <c r="C21" s="6" t="str">
        <f>C20&amp;"-"&amp;B21</f>
        <v>BMW-1</v>
      </c>
      <c r="D21" s="16" t="str">
        <f>IFERROR(VLOOKUP(C21,WORKSHEET!$O$4:$AM$74,8,FALSE),"")</f>
        <v>Motorwerks BMW</v>
      </c>
      <c r="E21" s="17">
        <f>IF(D21="","",VLOOKUP(C21,WORKSHEET!$O$4:$AM$74,9,FALSE))</f>
        <v>24</v>
      </c>
      <c r="F21" s="18">
        <f>IF(D21="","",VLOOKUP(C21,WORKSHEET!$O$4:$AM$74,10,FALSE))</f>
        <v>16</v>
      </c>
      <c r="G21" s="27">
        <f t="shared" ref="G21:G25" si="18">IF(D21="","",IFERROR(F21/E21,0))</f>
        <v>0.66666666666666663</v>
      </c>
      <c r="H21" s="17">
        <f>IF(D21="","",VLOOKUP(C21,WORKSHEET!$O$4:$AM$74,16,FALSE))</f>
        <v>21</v>
      </c>
      <c r="I21" s="19">
        <f t="shared" ref="I21:I25" si="19">IF(D21="","",IFERROR(H21/E21,0))</f>
        <v>0.875</v>
      </c>
      <c r="J21" s="18">
        <f>IF(D21="","",VLOOKUP(C21,WORKSHEET!$O$4:$AM$74,18,FALSE))</f>
        <v>0</v>
      </c>
      <c r="K21" s="17">
        <f>IF(D21="","",VLOOKUP(C21,WORKSHEET!$O$4:$AM$74,19,FALSE))</f>
        <v>0</v>
      </c>
      <c r="L21" s="17">
        <f>IF(D21="","",VLOOKUP(C21,WORKSHEET!$O$4:$AM$74,20,FALSE))</f>
        <v>0</v>
      </c>
      <c r="M21" s="17">
        <f t="shared" ref="M21:M25" si="20">IF(D21="","",SUM(J21:L21))</f>
        <v>0</v>
      </c>
      <c r="N21" s="20">
        <f t="shared" ref="N21:N25" si="21">IF(D21="","",IFERROR(SUM(J21:L21)/E21,0))</f>
        <v>0</v>
      </c>
      <c r="O21" s="21">
        <f>IF(D21="","",VLOOKUP(C21,WORKSHEET!$O$4:$AM$74,22,FALSE)+VLOOKUP(C21,WORKSHEET!$O$4:$AM$74,23,FALSE)+VLOOKUP(C21,WORKSHEET!$O$4:$AM$74,24,FALSE))</f>
        <v>3</v>
      </c>
      <c r="P21" s="20">
        <f t="shared" ref="P21:P25" si="22">IF(D21="","",IFERROR(O21/E21,0))</f>
        <v>0.125</v>
      </c>
      <c r="Q21" s="99">
        <v>0.52</v>
      </c>
    </row>
    <row r="22" spans="2:17" ht="15.5" x14ac:dyDescent="0.35">
      <c r="B22" s="4">
        <v>2</v>
      </c>
      <c r="C22" s="6" t="str">
        <f>C20&amp;"-"&amp;B22</f>
        <v>BMW-2</v>
      </c>
      <c r="D22" s="16" t="str">
        <f>IFERROR(VLOOKUP(C22,WORKSHEET!$O$4:$AM$74,8,FALSE),"")</f>
        <v>BMW of Austin</v>
      </c>
      <c r="E22" s="17">
        <f>IF(D22="","",VLOOKUP(C22,WORKSHEET!$O$4:$AM$74,9,FALSE))</f>
        <v>40</v>
      </c>
      <c r="F22" s="18">
        <f>IF(D22="","",VLOOKUP(C22,WORKSHEET!$O$4:$AM$74,10,FALSE))</f>
        <v>23</v>
      </c>
      <c r="G22" s="27">
        <f t="shared" si="18"/>
        <v>0.57499999999999996</v>
      </c>
      <c r="H22" s="17">
        <f>IF(D22="","",VLOOKUP(C22,WORKSHEET!$O$4:$AM$74,16,FALSE))</f>
        <v>32</v>
      </c>
      <c r="I22" s="19">
        <f t="shared" si="19"/>
        <v>0.8</v>
      </c>
      <c r="J22" s="18">
        <f>IF(D22="","",VLOOKUP(C22,WORKSHEET!$O$4:$AM$74,18,FALSE))</f>
        <v>0</v>
      </c>
      <c r="K22" s="17">
        <f>IF(D22="","",VLOOKUP(C22,WORKSHEET!$O$4:$AM$74,19,FALSE))</f>
        <v>0</v>
      </c>
      <c r="L22" s="17">
        <f>IF(D22="","",VLOOKUP(C22,WORKSHEET!$O$4:$AM$74,20,FALSE))</f>
        <v>0</v>
      </c>
      <c r="M22" s="17">
        <f t="shared" si="20"/>
        <v>0</v>
      </c>
      <c r="N22" s="20">
        <f t="shared" si="21"/>
        <v>0</v>
      </c>
      <c r="O22" s="21">
        <f>IF(D22="","",VLOOKUP(C22,WORKSHEET!$O$4:$AM$74,22,FALSE)+VLOOKUP(C22,WORKSHEET!$O$4:$AM$74,23,FALSE)+VLOOKUP(C22,WORKSHEET!$O$4:$AM$74,24,FALSE))</f>
        <v>8</v>
      </c>
      <c r="P22" s="20">
        <f t="shared" si="22"/>
        <v>0.2</v>
      </c>
      <c r="Q22" s="99"/>
    </row>
    <row r="23" spans="2:17" ht="15.5" x14ac:dyDescent="0.35">
      <c r="B23" s="4">
        <v>3</v>
      </c>
      <c r="C23" s="6" t="str">
        <f>C20&amp;"-"&amp;B23</f>
        <v>BMW-3</v>
      </c>
      <c r="D23" s="16" t="str">
        <f>IFERROR(VLOOKUP(C23,WORKSHEET!$O$4:$AM$74,8,FALSE),"")</f>
        <v>Crevier BMW</v>
      </c>
      <c r="E23" s="17">
        <f>IF(D23="","",VLOOKUP(C23,WORKSHEET!$O$4:$AM$74,9,FALSE))</f>
        <v>168</v>
      </c>
      <c r="F23" s="18">
        <f>IF(D23="","",VLOOKUP(C23,WORKSHEET!$O$4:$AM$74,10,FALSE))</f>
        <v>80</v>
      </c>
      <c r="G23" s="27">
        <f t="shared" si="18"/>
        <v>0.47619047619047616</v>
      </c>
      <c r="H23" s="17">
        <f>IF(D23="","",VLOOKUP(C23,WORKSHEET!$O$4:$AM$74,16,FALSE))</f>
        <v>122</v>
      </c>
      <c r="I23" s="19">
        <f t="shared" si="19"/>
        <v>0.72619047619047616</v>
      </c>
      <c r="J23" s="18">
        <f>IF(D23="","",VLOOKUP(C23,WORKSHEET!$O$4:$AM$74,18,FALSE))</f>
        <v>0</v>
      </c>
      <c r="K23" s="17">
        <f>IF(D23="","",VLOOKUP(C23,WORKSHEET!$O$4:$AM$74,19,FALSE))</f>
        <v>0</v>
      </c>
      <c r="L23" s="17">
        <f>IF(D23="","",VLOOKUP(C23,WORKSHEET!$O$4:$AM$74,20,FALSE))</f>
        <v>0</v>
      </c>
      <c r="M23" s="17">
        <f t="shared" si="20"/>
        <v>0</v>
      </c>
      <c r="N23" s="20">
        <f t="shared" si="21"/>
        <v>0</v>
      </c>
      <c r="O23" s="21">
        <f>IF(D23="","",VLOOKUP(C23,WORKSHEET!$O$4:$AM$74,22,FALSE)+VLOOKUP(C23,WORKSHEET!$O$4:$AM$74,23,FALSE)+VLOOKUP(C23,WORKSHEET!$O$4:$AM$74,24,FALSE))</f>
        <v>46</v>
      </c>
      <c r="P23" s="20">
        <f t="shared" si="22"/>
        <v>0.27380952380952384</v>
      </c>
      <c r="Q23" s="99"/>
    </row>
    <row r="24" spans="2:17" ht="15.5" x14ac:dyDescent="0.35">
      <c r="B24" s="4">
        <v>4</v>
      </c>
      <c r="C24" s="6" t="str">
        <f>C20&amp;"-"&amp;B24</f>
        <v>BMW-4</v>
      </c>
      <c r="D24" s="16" t="str">
        <f>IFERROR(VLOOKUP(C24,WORKSHEET!$O$4:$AM$74,8,FALSE),"")</f>
        <v>BMW of San Diego</v>
      </c>
      <c r="E24" s="17">
        <f>IF(D24="","",VLOOKUP(C24,WORKSHEET!$O$4:$AM$74,9,FALSE))</f>
        <v>50</v>
      </c>
      <c r="F24" s="18">
        <f>IF(D24="","",VLOOKUP(C24,WORKSHEET!$O$4:$AM$74,10,FALSE))</f>
        <v>23</v>
      </c>
      <c r="G24" s="27">
        <f t="shared" si="18"/>
        <v>0.46</v>
      </c>
      <c r="H24" s="17">
        <f>IF(D24="","",VLOOKUP(C24,WORKSHEET!$O$4:$AM$74,16,FALSE))</f>
        <v>41</v>
      </c>
      <c r="I24" s="19">
        <f t="shared" si="19"/>
        <v>0.82</v>
      </c>
      <c r="J24" s="18">
        <f>IF(D24="","",VLOOKUP(C24,WORKSHEET!$O$4:$AM$74,18,FALSE))</f>
        <v>3</v>
      </c>
      <c r="K24" s="17">
        <f>IF(D24="","",VLOOKUP(C24,WORKSHEET!$O$4:$AM$74,19,FALSE))</f>
        <v>0</v>
      </c>
      <c r="L24" s="17">
        <f>IF(D24="","",VLOOKUP(C24,WORKSHEET!$O$4:$AM$74,20,FALSE))</f>
        <v>0</v>
      </c>
      <c r="M24" s="17">
        <f t="shared" si="20"/>
        <v>3</v>
      </c>
      <c r="N24" s="20">
        <f t="shared" si="21"/>
        <v>0.06</v>
      </c>
      <c r="O24" s="21">
        <f>IF(D24="","",VLOOKUP(C24,WORKSHEET!$O$4:$AM$74,22,FALSE)+VLOOKUP(C24,WORKSHEET!$O$4:$AM$74,23,FALSE)+VLOOKUP(C24,WORKSHEET!$O$4:$AM$74,24,FALSE))</f>
        <v>6</v>
      </c>
      <c r="P24" s="20">
        <f t="shared" si="22"/>
        <v>0.12</v>
      </c>
      <c r="Q24" s="99"/>
    </row>
    <row r="25" spans="2:17" ht="15.5" x14ac:dyDescent="0.35">
      <c r="B25" s="4">
        <v>5</v>
      </c>
      <c r="C25" s="6" t="str">
        <f>C20&amp;"-"&amp;B25</f>
        <v>BMW-5</v>
      </c>
      <c r="D25" s="16" t="str">
        <f>IFERROR(VLOOKUP(C25,WORKSHEET!$O$4:$AM$74,8,FALSE),"")</f>
        <v>BMW of Ontario</v>
      </c>
      <c r="E25" s="17">
        <f>IF(D25="","",VLOOKUP(C25,WORKSHEET!$O$4:$AM$74,9,FALSE))</f>
        <v>31</v>
      </c>
      <c r="F25" s="18">
        <f>IF(D25="","",VLOOKUP(C25,WORKSHEET!$O$4:$AM$74,10,FALSE))</f>
        <v>14</v>
      </c>
      <c r="G25" s="27">
        <f t="shared" si="18"/>
        <v>0.45161290322580644</v>
      </c>
      <c r="H25" s="17">
        <f>IF(D25="","",VLOOKUP(C25,WORKSHEET!$O$4:$AM$74,16,FALSE))</f>
        <v>17</v>
      </c>
      <c r="I25" s="19">
        <f t="shared" si="19"/>
        <v>0.54838709677419351</v>
      </c>
      <c r="J25" s="18">
        <f>IF(D25="","",VLOOKUP(C25,WORKSHEET!$O$4:$AM$74,18,FALSE))</f>
        <v>0</v>
      </c>
      <c r="K25" s="17">
        <f>IF(D25="","",VLOOKUP(C25,WORKSHEET!$O$4:$AM$74,19,FALSE))</f>
        <v>6</v>
      </c>
      <c r="L25" s="17">
        <f>IF(D25="","",VLOOKUP(C25,WORKSHEET!$O$4:$AM$74,20,FALSE))</f>
        <v>7</v>
      </c>
      <c r="M25" s="17">
        <f t="shared" si="20"/>
        <v>13</v>
      </c>
      <c r="N25" s="20">
        <f t="shared" si="21"/>
        <v>0.41935483870967744</v>
      </c>
      <c r="O25" s="21">
        <f>IF(D25="","",VLOOKUP(C25,WORKSHEET!$O$4:$AM$74,22,FALSE)+VLOOKUP(C25,WORKSHEET!$O$4:$AM$74,23,FALSE)+VLOOKUP(C25,WORKSHEET!$O$4:$AM$74,24,FALSE))</f>
        <v>1</v>
      </c>
      <c r="P25" s="20">
        <f t="shared" si="22"/>
        <v>3.2258064516129031E-2</v>
      </c>
      <c r="Q25" s="99"/>
    </row>
    <row r="26" spans="2:17" ht="15.5" x14ac:dyDescent="0.35">
      <c r="B26" s="4">
        <v>6</v>
      </c>
      <c r="C26" s="6" t="str">
        <f>C20&amp;"-"&amp;B26</f>
        <v>BMW-6</v>
      </c>
      <c r="D26" s="16" t="str">
        <f>IFERROR(VLOOKUP(C26,WORKSHEET!$O$4:$AM$74,8,FALSE),"")</f>
        <v>Peter Pan BMW</v>
      </c>
      <c r="E26" s="17">
        <f>IF(D26="","",VLOOKUP(C26,WORKSHEET!$O$4:$AM$74,9,FALSE))</f>
        <v>74</v>
      </c>
      <c r="F26" s="18">
        <f>IF(D26="","",VLOOKUP(C26,WORKSHEET!$O$4:$AM$74,10,FALSE))</f>
        <v>30</v>
      </c>
      <c r="G26" s="27">
        <f t="shared" ref="G26:G29" si="23">IF(D26="","",IFERROR(F26/E26,0))</f>
        <v>0.40540540540540543</v>
      </c>
      <c r="H26" s="17">
        <f>IF(D26="","",VLOOKUP(C26,WORKSHEET!$O$4:$AM$74,16,FALSE))</f>
        <v>52</v>
      </c>
      <c r="I26" s="19">
        <f t="shared" ref="I26:I29" si="24">IF(D26="","",IFERROR(H26/E26,0))</f>
        <v>0.70270270270270274</v>
      </c>
      <c r="J26" s="18">
        <f>IF(D26="","",VLOOKUP(C26,WORKSHEET!$O$4:$AM$74,18,FALSE))</f>
        <v>0</v>
      </c>
      <c r="K26" s="17">
        <f>IF(D26="","",VLOOKUP(C26,WORKSHEET!$O$4:$AM$74,19,FALSE))</f>
        <v>0</v>
      </c>
      <c r="L26" s="17">
        <f>IF(D26="","",VLOOKUP(C26,WORKSHEET!$O$4:$AM$74,20,FALSE))</f>
        <v>0</v>
      </c>
      <c r="M26" s="17">
        <f t="shared" ref="M26:M29" si="25">IF(D26="","",SUM(J26:L26))</f>
        <v>0</v>
      </c>
      <c r="N26" s="20">
        <f t="shared" ref="N26:N29" si="26">IF(D26="","",IFERROR(SUM(J26:L26)/E26,0))</f>
        <v>0</v>
      </c>
      <c r="O26" s="21">
        <f>IF(D26="","",VLOOKUP(C26,WORKSHEET!$O$4:$AM$74,22,FALSE)+VLOOKUP(C26,WORKSHEET!$O$4:$AM$74,23,FALSE)+VLOOKUP(C26,WORKSHEET!$O$4:$AM$74,24,FALSE))</f>
        <v>22</v>
      </c>
      <c r="P26" s="20">
        <f t="shared" ref="P26:P29" si="27">IF(D26="","",IFERROR(O26/E26,0))</f>
        <v>0.29729729729729731</v>
      </c>
      <c r="Q26" s="99"/>
    </row>
    <row r="27" spans="2:17" ht="15.5" x14ac:dyDescent="0.35">
      <c r="B27" s="4">
        <v>7</v>
      </c>
      <c r="C27" s="6" t="str">
        <f>C20&amp;"-"&amp;B27</f>
        <v>BMW-7</v>
      </c>
      <c r="D27" s="16" t="str">
        <f>IFERROR(VLOOKUP(C27,WORKSHEET!$O$4:$AM$74,8,FALSE),"")</f>
        <v>BMW North Scottsdale</v>
      </c>
      <c r="E27" s="17">
        <f>IF(D27="","",VLOOKUP(C27,WORKSHEET!$O$4:$AM$74,9,FALSE))</f>
        <v>53</v>
      </c>
      <c r="F27" s="18">
        <f>IF(D27="","",VLOOKUP(C27,WORKSHEET!$O$4:$AM$74,10,FALSE))</f>
        <v>20</v>
      </c>
      <c r="G27" s="27">
        <f t="shared" si="23"/>
        <v>0.37735849056603776</v>
      </c>
      <c r="H27" s="17">
        <f>IF(D27="","",VLOOKUP(C27,WORKSHEET!$O$4:$AM$74,16,FALSE))</f>
        <v>41</v>
      </c>
      <c r="I27" s="19">
        <f t="shared" si="24"/>
        <v>0.77358490566037741</v>
      </c>
      <c r="J27" s="18">
        <f>IF(D27="","",VLOOKUP(C27,WORKSHEET!$O$4:$AM$74,18,FALSE))</f>
        <v>0</v>
      </c>
      <c r="K27" s="17">
        <f>IF(D27="","",VLOOKUP(C27,WORKSHEET!$O$4:$AM$74,19,FALSE))</f>
        <v>0</v>
      </c>
      <c r="L27" s="17">
        <f>IF(D27="","",VLOOKUP(C27,WORKSHEET!$O$4:$AM$74,20,FALSE))</f>
        <v>0</v>
      </c>
      <c r="M27" s="17">
        <f t="shared" si="25"/>
        <v>0</v>
      </c>
      <c r="N27" s="20">
        <f t="shared" si="26"/>
        <v>0</v>
      </c>
      <c r="O27" s="21">
        <f>IF(D27="","",VLOOKUP(C27,WORKSHEET!$O$4:$AM$74,22,FALSE)+VLOOKUP(C27,WORKSHEET!$O$4:$AM$74,23,FALSE)+VLOOKUP(C27,WORKSHEET!$O$4:$AM$74,24,FALSE))</f>
        <v>12</v>
      </c>
      <c r="P27" s="20">
        <f t="shared" si="27"/>
        <v>0.22641509433962265</v>
      </c>
      <c r="Q27" s="99"/>
    </row>
    <row r="28" spans="2:17" ht="15.5" x14ac:dyDescent="0.35">
      <c r="B28" s="4">
        <v>8</v>
      </c>
      <c r="C28" s="6" t="str">
        <f>C20&amp;"-"&amp;B28</f>
        <v>BMW-8</v>
      </c>
      <c r="D28" s="16" t="str">
        <f>IFERROR(VLOOKUP(C28,WORKSHEET!$O$4:$AM$74,8,FALSE),"")</f>
        <v>BMW of Escondido</v>
      </c>
      <c r="E28" s="17">
        <f>IF(D28="","",VLOOKUP(C28,WORKSHEET!$O$4:$AM$74,9,FALSE))</f>
        <v>15</v>
      </c>
      <c r="F28" s="18">
        <f>IF(D28="","",VLOOKUP(C28,WORKSHEET!$O$4:$AM$74,10,FALSE))</f>
        <v>2</v>
      </c>
      <c r="G28" s="27">
        <f t="shared" si="23"/>
        <v>0.13333333333333333</v>
      </c>
      <c r="H28" s="17">
        <f>IF(D28="","",VLOOKUP(C28,WORKSHEET!$O$4:$AM$74,16,FALSE))</f>
        <v>7</v>
      </c>
      <c r="I28" s="19">
        <f t="shared" si="24"/>
        <v>0.46666666666666667</v>
      </c>
      <c r="J28" s="18">
        <f>IF(D28="","",VLOOKUP(C28,WORKSHEET!$O$4:$AM$74,18,FALSE))</f>
        <v>0</v>
      </c>
      <c r="K28" s="17">
        <f>IF(D28="","",VLOOKUP(C28,WORKSHEET!$O$4:$AM$74,19,FALSE))</f>
        <v>2</v>
      </c>
      <c r="L28" s="17">
        <f>IF(D28="","",VLOOKUP(C28,WORKSHEET!$O$4:$AM$74,20,FALSE))</f>
        <v>0</v>
      </c>
      <c r="M28" s="17">
        <f t="shared" si="25"/>
        <v>2</v>
      </c>
      <c r="N28" s="20">
        <f t="shared" si="26"/>
        <v>0.13333333333333333</v>
      </c>
      <c r="O28" s="21">
        <f>IF(D28="","",VLOOKUP(C28,WORKSHEET!$O$4:$AM$74,22,FALSE)+VLOOKUP(C28,WORKSHEET!$O$4:$AM$74,23,FALSE)+VLOOKUP(C28,WORKSHEET!$O$4:$AM$74,24,FALSE))</f>
        <v>6</v>
      </c>
      <c r="P28" s="20">
        <f t="shared" si="27"/>
        <v>0.4</v>
      </c>
      <c r="Q28" s="99"/>
    </row>
    <row r="29" spans="2:17" ht="15.5" x14ac:dyDescent="0.35">
      <c r="B29" s="4">
        <v>9</v>
      </c>
      <c r="C29" s="6" t="str">
        <f>C20&amp;"-"&amp;B29</f>
        <v>BMW-9</v>
      </c>
      <c r="D29" s="16" t="str">
        <f>IFERROR(VLOOKUP(C29,WORKSHEET!$O$4:$AM$74,8,FALSE),"")</f>
        <v>BMW of Bloomfield Hills</v>
      </c>
      <c r="E29" s="17">
        <f>IF(D29="","",VLOOKUP(C29,WORKSHEET!$O$4:$AM$74,9,FALSE))</f>
        <v>25</v>
      </c>
      <c r="F29" s="18">
        <f>IF(D29="","",VLOOKUP(C29,WORKSHEET!$O$4:$AM$74,10,FALSE))</f>
        <v>0</v>
      </c>
      <c r="G29" s="27">
        <f t="shared" si="23"/>
        <v>0</v>
      </c>
      <c r="H29" s="17">
        <f>IF(D29="","",VLOOKUP(C29,WORKSHEET!$O$4:$AM$74,16,FALSE))</f>
        <v>0</v>
      </c>
      <c r="I29" s="19">
        <f t="shared" si="24"/>
        <v>0</v>
      </c>
      <c r="J29" s="18">
        <f>IF(D29="","",VLOOKUP(C29,WORKSHEET!$O$4:$AM$74,18,FALSE))</f>
        <v>9</v>
      </c>
      <c r="K29" s="17">
        <f>IF(D29="","",VLOOKUP(C29,WORKSHEET!$O$4:$AM$74,19,FALSE))</f>
        <v>0</v>
      </c>
      <c r="L29" s="17">
        <f>IF(D29="","",VLOOKUP(C29,WORKSHEET!$O$4:$AM$74,20,FALSE))</f>
        <v>16</v>
      </c>
      <c r="M29" s="17">
        <f t="shared" si="25"/>
        <v>25</v>
      </c>
      <c r="N29" s="20">
        <f t="shared" si="26"/>
        <v>1</v>
      </c>
      <c r="O29" s="21">
        <f>IF(D29="","",VLOOKUP(C29,WORKSHEET!$O$4:$AM$74,22,FALSE)+VLOOKUP(C29,WORKSHEET!$O$4:$AM$74,23,FALSE)+VLOOKUP(C29,WORKSHEET!$O$4:$AM$74,24,FALSE))</f>
        <v>0</v>
      </c>
      <c r="P29" s="20">
        <f t="shared" si="27"/>
        <v>0</v>
      </c>
      <c r="Q29" s="99"/>
    </row>
    <row r="30" spans="2:17" s="6" customFormat="1" ht="15.5" x14ac:dyDescent="0.35">
      <c r="D30" s="28" t="s">
        <v>102</v>
      </c>
      <c r="E30" s="29">
        <f>SUM(E21:E29)</f>
        <v>480</v>
      </c>
      <c r="F30" s="30">
        <f>SUM(F21:F29)</f>
        <v>208</v>
      </c>
      <c r="G30" s="27">
        <f>IFERROR(F30/E30,0)</f>
        <v>0.43333333333333335</v>
      </c>
      <c r="H30" s="30">
        <f>SUM(H21:H29)</f>
        <v>333</v>
      </c>
      <c r="I30" s="19">
        <f>IFERROR(H30/E30,0)</f>
        <v>0.69374999999999998</v>
      </c>
      <c r="J30" s="30">
        <f>SUM(J21:J29)</f>
        <v>12</v>
      </c>
      <c r="K30" s="30">
        <f>SUM(K21:K29)</f>
        <v>8</v>
      </c>
      <c r="L30" s="30">
        <f>SUM(L21:L29)</f>
        <v>23</v>
      </c>
      <c r="M30" s="30">
        <f t="shared" ref="M30" si="28">SUM(J30:L30)</f>
        <v>43</v>
      </c>
      <c r="N30" s="31">
        <f>IFERROR(SUM(J30:L30)/E30,0)</f>
        <v>8.9583333333333334E-2</v>
      </c>
      <c r="O30" s="30">
        <f>SUM(O21:O29)</f>
        <v>104</v>
      </c>
      <c r="P30" s="31">
        <f>IFERROR(O30/E30,0)</f>
        <v>0.21666666666666667</v>
      </c>
      <c r="Q30" s="99"/>
    </row>
    <row r="31" spans="2:17" x14ac:dyDescent="0.3">
      <c r="C31" s="6" t="s">
        <v>105</v>
      </c>
      <c r="D31" s="101" t="str">
        <f>C31</f>
        <v>Chevrolet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25"/>
    </row>
    <row r="32" spans="2:17" ht="15.5" x14ac:dyDescent="0.35">
      <c r="B32" s="4">
        <v>1</v>
      </c>
      <c r="C32" s="6" t="str">
        <f>C31&amp;"-"&amp;B32</f>
        <v>Chevrolet-1</v>
      </c>
      <c r="D32" s="16" t="str">
        <f>IFERROR(VLOOKUP(C32,WORKSHEET!$O$4:$AM$74,8,FALSE),"")</f>
        <v>Penske Chevrolet</v>
      </c>
      <c r="E32" s="17">
        <f>IF(D32="","",VLOOKUP(C32,WORKSHEET!$O$4:$AM$74,9,FALSE))</f>
        <v>11</v>
      </c>
      <c r="F32" s="18">
        <f>IF(D32="","",VLOOKUP(C32,WORKSHEET!$O$4:$AM$74,10,FALSE))</f>
        <v>5</v>
      </c>
      <c r="G32" s="27">
        <f>IF(D32="","",IFERROR(F32/E32,0))</f>
        <v>0.45454545454545453</v>
      </c>
      <c r="H32" s="17">
        <f>IF(D32="","",VLOOKUP(C32,WORKSHEET!$O$4:$AM$74,16,FALSE))</f>
        <v>6</v>
      </c>
      <c r="I32" s="19">
        <f>IF(D32="","",IFERROR(H32/E32,0))</f>
        <v>0.54545454545454541</v>
      </c>
      <c r="J32" s="18">
        <f>IF(D32="","",VLOOKUP(C32,WORKSHEET!$O$4:$AM$74,18,FALSE))</f>
        <v>3</v>
      </c>
      <c r="K32" s="17">
        <f>IF(D32="","",VLOOKUP(C32,WORKSHEET!$O$4:$AM$74,19,FALSE))</f>
        <v>0</v>
      </c>
      <c r="L32" s="17">
        <f>IF(D32="","",VLOOKUP(C32,WORKSHEET!$O$4:$AM$74,20,FALSE))</f>
        <v>0</v>
      </c>
      <c r="M32" s="17">
        <f>IF(D32="","",SUM(J32:L32))</f>
        <v>3</v>
      </c>
      <c r="N32" s="20">
        <f>IF(D32="","",IFERROR(SUM(J32:L32)/E32,0))</f>
        <v>0.27272727272727271</v>
      </c>
      <c r="O32" s="21">
        <f>IF(D32="","",VLOOKUP(C32,WORKSHEET!$O$4:$AM$74,22,FALSE)+VLOOKUP(C32,WORKSHEET!$O$4:$AM$74,23,FALSE)+VLOOKUP(C32,WORKSHEET!$O$4:$AM$74,24,FALSE))</f>
        <v>2</v>
      </c>
      <c r="P32" s="20">
        <f>IF(D32="","",IFERROR(O32/E32,0))</f>
        <v>0.18181818181818182</v>
      </c>
      <c r="Q32" s="32"/>
    </row>
    <row r="33" spans="2:17" s="6" customFormat="1" ht="15.5" x14ac:dyDescent="0.35">
      <c r="D33" s="28" t="s">
        <v>102</v>
      </c>
      <c r="E33" s="29">
        <f>SUM(E32)</f>
        <v>11</v>
      </c>
      <c r="F33" s="30">
        <f>SUM(F32)</f>
        <v>5</v>
      </c>
      <c r="G33" s="27">
        <f>IFERROR(F33/E33,0)</f>
        <v>0.45454545454545453</v>
      </c>
      <c r="H33" s="30">
        <f>SUM(H32)</f>
        <v>6</v>
      </c>
      <c r="I33" s="19">
        <f>IFERROR(H33/E33,0)</f>
        <v>0.54545454545454541</v>
      </c>
      <c r="J33" s="30">
        <f t="shared" ref="J33:L33" si="29">SUM(J32)</f>
        <v>3</v>
      </c>
      <c r="K33" s="30">
        <f t="shared" si="29"/>
        <v>0</v>
      </c>
      <c r="L33" s="30">
        <f t="shared" si="29"/>
        <v>0</v>
      </c>
      <c r="M33" s="30">
        <f t="shared" ref="M33" si="30">SUM(J33:L33)</f>
        <v>3</v>
      </c>
      <c r="N33" s="31">
        <f>IFERROR(SUM(J33:L33)/E33,0)</f>
        <v>0.27272727272727271</v>
      </c>
      <c r="O33" s="30">
        <f>SUM(O32)</f>
        <v>2</v>
      </c>
      <c r="P33" s="31">
        <f>IFERROR(O33/E33,0)</f>
        <v>0.18181818181818182</v>
      </c>
      <c r="Q33" s="33"/>
    </row>
    <row r="34" spans="2:17" x14ac:dyDescent="0.3">
      <c r="C34" s="6" t="s">
        <v>106</v>
      </c>
      <c r="D34" s="101" t="str">
        <f>C34</f>
        <v>Ford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25"/>
    </row>
    <row r="35" spans="2:17" ht="15.5" hidden="1" x14ac:dyDescent="0.35">
      <c r="B35" s="4">
        <v>1</v>
      </c>
      <c r="C35" s="6" t="str">
        <f>C34&amp;"-"&amp;B35</f>
        <v>Ford-1</v>
      </c>
      <c r="D35" s="16" t="str">
        <f>IFERROR(VLOOKUP(C35,WORKSHEET!$O$4:$AM$74,8,FALSE),"")</f>
        <v/>
      </c>
      <c r="E35" s="17" t="str">
        <f>IF(D35="","",VLOOKUP(C35,WORKSHEET!$O$4:$AM$74,9,FALSE))</f>
        <v/>
      </c>
      <c r="F35" s="18" t="str">
        <f>IF(D35="","",VLOOKUP(C35,WORKSHEET!$O$4:$AM$74,10,FALSE))</f>
        <v/>
      </c>
      <c r="G35" s="27" t="str">
        <f>IF(D35="","",IFERROR(F35/E35,0))</f>
        <v/>
      </c>
      <c r="H35" s="17" t="str">
        <f>IF(D35="","",VLOOKUP(C35,WORKSHEET!$O$4:$AM$74,16,FALSE))</f>
        <v/>
      </c>
      <c r="I35" s="19" t="str">
        <f>IF(D35="","",IFERROR(H35/E35,0))</f>
        <v/>
      </c>
      <c r="J35" s="18" t="str">
        <f>IF(D35="","",VLOOKUP(C35,WORKSHEET!$O$4:$AM$74,18,FALSE))</f>
        <v/>
      </c>
      <c r="K35" s="17" t="str">
        <f>IF(D35="","",VLOOKUP(C35,WORKSHEET!$O$4:$AM$74,19,FALSE))</f>
        <v/>
      </c>
      <c r="L35" s="17" t="str">
        <f>IF(D35="","",VLOOKUP(C35,WORKSHEET!$O$4:$AM$74,20,FALSE))</f>
        <v/>
      </c>
      <c r="M35" s="17" t="str">
        <f>IF(D35="","",SUM(J35:L35))</f>
        <v/>
      </c>
      <c r="N35" s="20" t="str">
        <f>IF(D35="","",IFERROR(SUM(J35:L35)/E35,0))</f>
        <v/>
      </c>
      <c r="O35" s="21" t="str">
        <f>IF(D35="","",VLOOKUP(C35,WORKSHEET!$O$4:$AM$74,22,FALSE)+VLOOKUP(C35,WORKSHEET!$O$4:$AM$74,23,FALSE)+VLOOKUP(C35,WORKSHEET!$O$4:$AM$74,24,FALSE))</f>
        <v/>
      </c>
      <c r="P35" s="20" t="str">
        <f>IF(D35="","",IFERROR(O35/E35,0))</f>
        <v/>
      </c>
      <c r="Q35" s="32"/>
    </row>
    <row r="36" spans="2:17" s="6" customFormat="1" ht="15.5" x14ac:dyDescent="0.35">
      <c r="D36" s="28" t="s">
        <v>102</v>
      </c>
      <c r="E36" s="29">
        <f>SUM(E35)</f>
        <v>0</v>
      </c>
      <c r="F36" s="30">
        <f>SUM(F35)</f>
        <v>0</v>
      </c>
      <c r="G36" s="27">
        <f>IFERROR(F36/E36,0)</f>
        <v>0</v>
      </c>
      <c r="H36" s="30">
        <f>SUM(H35)</f>
        <v>0</v>
      </c>
      <c r="I36" s="19">
        <f>IFERROR(H36/E36,0)</f>
        <v>0</v>
      </c>
      <c r="J36" s="30">
        <f t="shared" ref="J36:L36" si="31">SUM(J35)</f>
        <v>0</v>
      </c>
      <c r="K36" s="30">
        <f t="shared" si="31"/>
        <v>0</v>
      </c>
      <c r="L36" s="30">
        <f t="shared" si="31"/>
        <v>0</v>
      </c>
      <c r="M36" s="30">
        <f t="shared" ref="M36" si="32">SUM(J36:L36)</f>
        <v>0</v>
      </c>
      <c r="N36" s="31">
        <f>IFERROR(SUM(J36:L36)/E36,0)</f>
        <v>0</v>
      </c>
      <c r="O36" s="30">
        <f>SUM(O35)</f>
        <v>0</v>
      </c>
      <c r="P36" s="31">
        <f>IFERROR(O36/E36,0)</f>
        <v>0</v>
      </c>
      <c r="Q36" s="33"/>
    </row>
    <row r="37" spans="2:17" x14ac:dyDescent="0.3">
      <c r="C37" s="6" t="s">
        <v>107</v>
      </c>
      <c r="D37" s="101" t="str">
        <f>C37</f>
        <v>Honda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25"/>
    </row>
    <row r="38" spans="2:17" ht="15.5" x14ac:dyDescent="0.35">
      <c r="B38" s="4">
        <v>1</v>
      </c>
      <c r="C38" s="6" t="str">
        <f>C37&amp;"-"&amp;B38</f>
        <v>Honda-1</v>
      </c>
      <c r="D38" s="16" t="str">
        <f>IFERROR(VLOOKUP(C38,WORKSHEET!$O$4:$AM$74,8,FALSE),"")</f>
        <v>Honda Leander</v>
      </c>
      <c r="E38" s="17">
        <f>IF(D38="","",VLOOKUP(C38,WORKSHEET!$O$4:$AM$74,9,FALSE))</f>
        <v>8</v>
      </c>
      <c r="F38" s="18">
        <f>IF(D38="","",VLOOKUP(C38,WORKSHEET!$O$4:$AM$74,10,FALSE))</f>
        <v>4</v>
      </c>
      <c r="G38" s="27">
        <f t="shared" ref="G38" si="33">IF(D38="","",IFERROR(F38/E38,0))</f>
        <v>0.5</v>
      </c>
      <c r="H38" s="17">
        <f>IF(D38="","",VLOOKUP(C38,WORKSHEET!$O$4:$AM$74,16,FALSE))</f>
        <v>5</v>
      </c>
      <c r="I38" s="19">
        <f t="shared" ref="I38" si="34">IF(D38="","",IFERROR(H38/E38,0))</f>
        <v>0.625</v>
      </c>
      <c r="J38" s="18">
        <f>IF(D38="","",VLOOKUP(C38,WORKSHEET!$O$4:$AM$74,18,FALSE))</f>
        <v>0</v>
      </c>
      <c r="K38" s="17">
        <f>IF(D38="","",VLOOKUP(C38,WORKSHEET!$O$4:$AM$74,19,FALSE))</f>
        <v>2</v>
      </c>
      <c r="L38" s="17">
        <f>IF(D38="","",VLOOKUP(C38,WORKSHEET!$O$4:$AM$74,20,FALSE))</f>
        <v>0</v>
      </c>
      <c r="M38" s="17">
        <f t="shared" ref="M38" si="35">IF(D38="","",SUM(J38:L38))</f>
        <v>2</v>
      </c>
      <c r="N38" s="20">
        <f t="shared" ref="N38" si="36">IF(D38="","",IFERROR(SUM(J38:L38)/E38,0))</f>
        <v>0.25</v>
      </c>
      <c r="O38" s="21">
        <f>IF(D38="","",VLOOKUP(C38,WORKSHEET!$O$4:$AM$74,22,FALSE)+VLOOKUP(C38,WORKSHEET!$O$4:$AM$74,23,FALSE)+VLOOKUP(C38,WORKSHEET!$O$4:$AM$74,24,FALSE))</f>
        <v>1</v>
      </c>
      <c r="P38" s="20">
        <f t="shared" ref="P38" si="37">IF(D38="","",IFERROR(O38/E38,0))</f>
        <v>0.125</v>
      </c>
      <c r="Q38" s="99">
        <v>0.56000000000000005</v>
      </c>
    </row>
    <row r="39" spans="2:17" ht="15.5" x14ac:dyDescent="0.35">
      <c r="B39" s="4">
        <v>2</v>
      </c>
      <c r="C39" s="6" t="str">
        <f>C37&amp;"-"&amp;B39</f>
        <v>Honda-2</v>
      </c>
      <c r="D39" s="16" t="str">
        <f>IFERROR(VLOOKUP(C39,WORKSHEET!$O$4:$AM$74,8,FALSE),"")</f>
        <v>Penske Honda</v>
      </c>
      <c r="E39" s="17">
        <f>IF(D39="","",VLOOKUP(C39,WORKSHEET!$O$4:$AM$74,9,FALSE))</f>
        <v>70</v>
      </c>
      <c r="F39" s="18">
        <f>IF(D39="","",VLOOKUP(C39,WORKSHEET!$O$4:$AM$74,10,FALSE))</f>
        <v>29</v>
      </c>
      <c r="G39" s="27">
        <f t="shared" ref="G39:G44" si="38">IF(D39="","",IFERROR(F39/E39,0))</f>
        <v>0.41428571428571431</v>
      </c>
      <c r="H39" s="17">
        <f>IF(D39="","",VLOOKUP(C39,WORKSHEET!$O$4:$AM$74,16,FALSE))</f>
        <v>44</v>
      </c>
      <c r="I39" s="19">
        <f t="shared" ref="I39:I44" si="39">IF(D39="","",IFERROR(H39/E39,0))</f>
        <v>0.62857142857142856</v>
      </c>
      <c r="J39" s="18">
        <f>IF(D39="","",VLOOKUP(C39,WORKSHEET!$O$4:$AM$74,18,FALSE))</f>
        <v>0</v>
      </c>
      <c r="K39" s="17">
        <f>IF(D39="","",VLOOKUP(C39,WORKSHEET!$O$4:$AM$74,19,FALSE))</f>
        <v>2</v>
      </c>
      <c r="L39" s="17">
        <f>IF(D39="","",VLOOKUP(C39,WORKSHEET!$O$4:$AM$74,20,FALSE))</f>
        <v>0</v>
      </c>
      <c r="M39" s="17">
        <f t="shared" ref="M39:M44" si="40">IF(D39="","",SUM(J39:L39))</f>
        <v>2</v>
      </c>
      <c r="N39" s="20">
        <f t="shared" ref="N39:N44" si="41">IF(D39="","",IFERROR(SUM(J39:L39)/E39,0))</f>
        <v>2.8571428571428571E-2</v>
      </c>
      <c r="O39" s="21">
        <f>IF(D39="","",VLOOKUP(C39,WORKSHEET!$O$4:$AM$74,22,FALSE)+VLOOKUP(C39,WORKSHEET!$O$4:$AM$74,23,FALSE)+VLOOKUP(C39,WORKSHEET!$O$4:$AM$74,24,FALSE))</f>
        <v>24</v>
      </c>
      <c r="P39" s="20">
        <f t="shared" ref="P39:P44" si="42">IF(D39="","",IFERROR(O39/E39,0))</f>
        <v>0.34285714285714286</v>
      </c>
      <c r="Q39" s="99"/>
    </row>
    <row r="40" spans="2:17" ht="15.5" x14ac:dyDescent="0.35">
      <c r="B40" s="4">
        <v>3</v>
      </c>
      <c r="C40" s="6" t="str">
        <f>C37&amp;"-"&amp;B40</f>
        <v>Honda-3</v>
      </c>
      <c r="D40" s="16" t="str">
        <f>IFERROR(VLOOKUP(C40,WORKSHEET!$O$4:$AM$74,8,FALSE),"")</f>
        <v>Honda of Escondido</v>
      </c>
      <c r="E40" s="17">
        <f>IF(D40="","",VLOOKUP(C40,WORKSHEET!$O$4:$AM$74,9,FALSE))</f>
        <v>14</v>
      </c>
      <c r="F40" s="18">
        <f>IF(D40="","",VLOOKUP(C40,WORKSHEET!$O$4:$AM$74,10,FALSE))</f>
        <v>5</v>
      </c>
      <c r="G40" s="27">
        <f t="shared" si="38"/>
        <v>0.35714285714285715</v>
      </c>
      <c r="H40" s="17">
        <f>IF(D40="","",VLOOKUP(C40,WORKSHEET!$O$4:$AM$74,16,FALSE))</f>
        <v>11</v>
      </c>
      <c r="I40" s="19">
        <f t="shared" si="39"/>
        <v>0.7857142857142857</v>
      </c>
      <c r="J40" s="18">
        <f>IF(D40="","",VLOOKUP(C40,WORKSHEET!$O$4:$AM$74,18,FALSE))</f>
        <v>0</v>
      </c>
      <c r="K40" s="17">
        <f>IF(D40="","",VLOOKUP(C40,WORKSHEET!$O$4:$AM$74,19,FALSE))</f>
        <v>1</v>
      </c>
      <c r="L40" s="17">
        <f>IF(D40="","",VLOOKUP(C40,WORKSHEET!$O$4:$AM$74,20,FALSE))</f>
        <v>0</v>
      </c>
      <c r="M40" s="17">
        <f t="shared" si="40"/>
        <v>1</v>
      </c>
      <c r="N40" s="20">
        <f t="shared" si="41"/>
        <v>7.1428571428571425E-2</v>
      </c>
      <c r="O40" s="21">
        <f>IF(D40="","",VLOOKUP(C40,WORKSHEET!$O$4:$AM$74,22,FALSE)+VLOOKUP(C40,WORKSHEET!$O$4:$AM$74,23,FALSE)+VLOOKUP(C40,WORKSHEET!$O$4:$AM$74,24,FALSE))</f>
        <v>2</v>
      </c>
      <c r="P40" s="20">
        <f t="shared" si="42"/>
        <v>0.14285714285714285</v>
      </c>
      <c r="Q40" s="99"/>
    </row>
    <row r="41" spans="2:17" ht="15.5" x14ac:dyDescent="0.35">
      <c r="B41" s="4">
        <v>4</v>
      </c>
      <c r="C41" s="6" t="str">
        <f>C37&amp;"-"&amp;B41</f>
        <v>Honda-4</v>
      </c>
      <c r="D41" s="16" t="str">
        <f>IFERROR(VLOOKUP(C41,WORKSHEET!$O$4:$AM$74,8,FALSE),"")</f>
        <v>Honda North</v>
      </c>
      <c r="E41" s="17">
        <f>IF(D41="","",VLOOKUP(C41,WORKSHEET!$O$4:$AM$74,9,FALSE))</f>
        <v>28</v>
      </c>
      <c r="F41" s="18">
        <f>IF(D41="","",VLOOKUP(C41,WORKSHEET!$O$4:$AM$74,10,FALSE))</f>
        <v>9</v>
      </c>
      <c r="G41" s="27">
        <f t="shared" si="38"/>
        <v>0.32142857142857145</v>
      </c>
      <c r="H41" s="17">
        <f>IF(D41="","",VLOOKUP(C41,WORKSHEET!$O$4:$AM$74,16,FALSE))</f>
        <v>21</v>
      </c>
      <c r="I41" s="19">
        <f t="shared" si="39"/>
        <v>0.75</v>
      </c>
      <c r="J41" s="18">
        <f>IF(D41="","",VLOOKUP(C41,WORKSHEET!$O$4:$AM$74,18,FALSE))</f>
        <v>0</v>
      </c>
      <c r="K41" s="17">
        <f>IF(D41="","",VLOOKUP(C41,WORKSHEET!$O$4:$AM$74,19,FALSE))</f>
        <v>0</v>
      </c>
      <c r="L41" s="17">
        <f>IF(D41="","",VLOOKUP(C41,WORKSHEET!$O$4:$AM$74,20,FALSE))</f>
        <v>0</v>
      </c>
      <c r="M41" s="17">
        <f t="shared" si="40"/>
        <v>0</v>
      </c>
      <c r="N41" s="20">
        <f t="shared" si="41"/>
        <v>0</v>
      </c>
      <c r="O41" s="21">
        <f>IF(D41="","",VLOOKUP(C41,WORKSHEET!$O$4:$AM$74,22,FALSE)+VLOOKUP(C41,WORKSHEET!$O$4:$AM$74,23,FALSE)+VLOOKUP(C41,WORKSHEET!$O$4:$AM$74,24,FALSE))</f>
        <v>7</v>
      </c>
      <c r="P41" s="20">
        <f t="shared" si="42"/>
        <v>0.25</v>
      </c>
      <c r="Q41" s="99"/>
    </row>
    <row r="42" spans="2:17" ht="15.5" x14ac:dyDescent="0.35">
      <c r="B42" s="4">
        <v>5</v>
      </c>
      <c r="C42" s="6" t="str">
        <f>C37&amp;"-"&amp;B42</f>
        <v>Honda-5</v>
      </c>
      <c r="D42" s="16" t="str">
        <f>IFERROR(VLOOKUP(C42,WORKSHEET!$O$4:$AM$74,8,FALSE),"")</f>
        <v>Round Rock Honda</v>
      </c>
      <c r="E42" s="17">
        <f>IF(D42="","",VLOOKUP(C42,WORKSHEET!$O$4:$AM$74,9,FALSE))</f>
        <v>27</v>
      </c>
      <c r="F42" s="18">
        <f>IF(D42="","",VLOOKUP(C42,WORKSHEET!$O$4:$AM$74,10,FALSE))</f>
        <v>7</v>
      </c>
      <c r="G42" s="27">
        <f t="shared" si="38"/>
        <v>0.25925925925925924</v>
      </c>
      <c r="H42" s="17">
        <f>IF(D42="","",VLOOKUP(C42,WORKSHEET!$O$4:$AM$74,16,FALSE))</f>
        <v>19</v>
      </c>
      <c r="I42" s="19">
        <f t="shared" si="39"/>
        <v>0.70370370370370372</v>
      </c>
      <c r="J42" s="18">
        <f>IF(D42="","",VLOOKUP(C42,WORKSHEET!$O$4:$AM$74,18,FALSE))</f>
        <v>0</v>
      </c>
      <c r="K42" s="17">
        <f>IF(D42="","",VLOOKUP(C42,WORKSHEET!$O$4:$AM$74,19,FALSE))</f>
        <v>0</v>
      </c>
      <c r="L42" s="17">
        <f>IF(D42="","",VLOOKUP(C42,WORKSHEET!$O$4:$AM$74,20,FALSE))</f>
        <v>0</v>
      </c>
      <c r="M42" s="17">
        <f t="shared" si="40"/>
        <v>0</v>
      </c>
      <c r="N42" s="20">
        <f t="shared" si="41"/>
        <v>0</v>
      </c>
      <c r="O42" s="21">
        <f>IF(D42="","",VLOOKUP(C42,WORKSHEET!$O$4:$AM$74,22,FALSE)+VLOOKUP(C42,WORKSHEET!$O$4:$AM$74,23,FALSE)+VLOOKUP(C42,WORKSHEET!$O$4:$AM$74,24,FALSE))</f>
        <v>8</v>
      </c>
      <c r="P42" s="20">
        <f t="shared" si="42"/>
        <v>0.29629629629629628</v>
      </c>
      <c r="Q42" s="99"/>
    </row>
    <row r="43" spans="2:17" ht="15.5" x14ac:dyDescent="0.35">
      <c r="B43" s="4">
        <v>6</v>
      </c>
      <c r="C43" s="6" t="str">
        <f>C37&amp;"-"&amp;B43</f>
        <v>Honda-6</v>
      </c>
      <c r="D43" s="16" t="str">
        <f>IFERROR(VLOOKUP(C43,WORKSHEET!$O$4:$AM$74,8,FALSE),"")</f>
        <v>Capitol Honda</v>
      </c>
      <c r="E43" s="17">
        <f>IF(D43="","",VLOOKUP(C43,WORKSHEET!$O$4:$AM$74,9,FALSE))</f>
        <v>21</v>
      </c>
      <c r="F43" s="18">
        <f>IF(D43="","",VLOOKUP(C43,WORKSHEET!$O$4:$AM$74,10,FALSE))</f>
        <v>5</v>
      </c>
      <c r="G43" s="27">
        <f t="shared" si="38"/>
        <v>0.23809523809523808</v>
      </c>
      <c r="H43" s="17">
        <f>IF(D43="","",VLOOKUP(C43,WORKSHEET!$O$4:$AM$74,16,FALSE))</f>
        <v>19</v>
      </c>
      <c r="I43" s="19">
        <f t="shared" si="39"/>
        <v>0.90476190476190477</v>
      </c>
      <c r="J43" s="18">
        <f>IF(D43="","",VLOOKUP(C43,WORKSHEET!$O$4:$AM$74,18,FALSE))</f>
        <v>2</v>
      </c>
      <c r="K43" s="17">
        <f>IF(D43="","",VLOOKUP(C43,WORKSHEET!$O$4:$AM$74,19,FALSE))</f>
        <v>0</v>
      </c>
      <c r="L43" s="17">
        <f>IF(D43="","",VLOOKUP(C43,WORKSHEET!$O$4:$AM$74,20,FALSE))</f>
        <v>0</v>
      </c>
      <c r="M43" s="17">
        <f t="shared" si="40"/>
        <v>2</v>
      </c>
      <c r="N43" s="20">
        <f t="shared" si="41"/>
        <v>9.5238095238095233E-2</v>
      </c>
      <c r="O43" s="21">
        <f>IF(D43="","",VLOOKUP(C43,WORKSHEET!$O$4:$AM$74,22,FALSE)+VLOOKUP(C43,WORKSHEET!$O$4:$AM$74,23,FALSE)+VLOOKUP(C43,WORKSHEET!$O$4:$AM$74,24,FALSE))</f>
        <v>0</v>
      </c>
      <c r="P43" s="20">
        <f t="shared" si="42"/>
        <v>0</v>
      </c>
      <c r="Q43" s="99"/>
    </row>
    <row r="44" spans="2:17" ht="15.5" x14ac:dyDescent="0.35">
      <c r="B44" s="4">
        <v>7</v>
      </c>
      <c r="C44" s="6" t="str">
        <f>C37&amp;"-"&amp;B44</f>
        <v>Honda-7</v>
      </c>
      <c r="D44" s="16" t="str">
        <f>IFERROR(VLOOKUP(C44,WORKSHEET!$O$4:$AM$74,8,FALSE),"")</f>
        <v>Tempe Honda</v>
      </c>
      <c r="E44" s="17">
        <f>IF(D44="","",VLOOKUP(C44,WORKSHEET!$O$4:$AM$74,9,FALSE))</f>
        <v>22</v>
      </c>
      <c r="F44" s="18">
        <f>IF(D44="","",VLOOKUP(C44,WORKSHEET!$O$4:$AM$74,10,FALSE))</f>
        <v>5</v>
      </c>
      <c r="G44" s="27">
        <f t="shared" si="38"/>
        <v>0.22727272727272727</v>
      </c>
      <c r="H44" s="17">
        <f>IF(D44="","",VLOOKUP(C44,WORKSHEET!$O$4:$AM$74,16,FALSE))</f>
        <v>11</v>
      </c>
      <c r="I44" s="19">
        <f t="shared" si="39"/>
        <v>0.5</v>
      </c>
      <c r="J44" s="18">
        <f>IF(D44="","",VLOOKUP(C44,WORKSHEET!$O$4:$AM$74,18,FALSE))</f>
        <v>0</v>
      </c>
      <c r="K44" s="17">
        <f>IF(D44="","",VLOOKUP(C44,WORKSHEET!$O$4:$AM$74,19,FALSE))</f>
        <v>1</v>
      </c>
      <c r="L44" s="17">
        <f>IF(D44="","",VLOOKUP(C44,WORKSHEET!$O$4:$AM$74,20,FALSE))</f>
        <v>4</v>
      </c>
      <c r="M44" s="17">
        <f t="shared" si="40"/>
        <v>5</v>
      </c>
      <c r="N44" s="20">
        <f t="shared" si="41"/>
        <v>0.22727272727272727</v>
      </c>
      <c r="O44" s="21">
        <f>IF(D44="","",VLOOKUP(C44,WORKSHEET!$O$4:$AM$74,22,FALSE)+VLOOKUP(C44,WORKSHEET!$O$4:$AM$74,23,FALSE)+VLOOKUP(C44,WORKSHEET!$O$4:$AM$74,24,FALSE))</f>
        <v>6</v>
      </c>
      <c r="P44" s="20">
        <f t="shared" si="42"/>
        <v>0.27272727272727271</v>
      </c>
      <c r="Q44" s="99"/>
    </row>
    <row r="45" spans="2:17" s="6" customFormat="1" ht="15.5" x14ac:dyDescent="0.35">
      <c r="D45" s="28" t="s">
        <v>102</v>
      </c>
      <c r="E45" s="29">
        <f>SUM(E38:E44)</f>
        <v>190</v>
      </c>
      <c r="F45" s="30">
        <f>SUM(F38:F44)</f>
        <v>64</v>
      </c>
      <c r="G45" s="27">
        <f>IFERROR(F45/E45,0)</f>
        <v>0.33684210526315789</v>
      </c>
      <c r="H45" s="30">
        <f>SUM(H38:H44)</f>
        <v>130</v>
      </c>
      <c r="I45" s="19">
        <f>IFERROR(H45/E45,0)</f>
        <v>0.68421052631578949</v>
      </c>
      <c r="J45" s="30">
        <f>SUM(J38:J44)</f>
        <v>2</v>
      </c>
      <c r="K45" s="30">
        <f>SUM(K38:K44)</f>
        <v>6</v>
      </c>
      <c r="L45" s="30">
        <f>SUM(L38:L44)</f>
        <v>4</v>
      </c>
      <c r="M45" s="30">
        <f t="shared" ref="M45" si="43">SUM(J45:L45)</f>
        <v>12</v>
      </c>
      <c r="N45" s="31">
        <f>IFERROR(SUM(J45:L45)/E45,0)</f>
        <v>6.3157894736842107E-2</v>
      </c>
      <c r="O45" s="30">
        <f>SUM(O38:O44)</f>
        <v>48</v>
      </c>
      <c r="P45" s="31">
        <f>IFERROR(O45/E45,0)</f>
        <v>0.25263157894736843</v>
      </c>
      <c r="Q45" s="99"/>
    </row>
    <row r="46" spans="2:17" x14ac:dyDescent="0.3">
      <c r="C46" s="6" t="s">
        <v>108</v>
      </c>
      <c r="D46" s="101" t="str">
        <f>C46</f>
        <v>Genesis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25"/>
    </row>
    <row r="47" spans="2:17" ht="15.5" hidden="1" x14ac:dyDescent="0.35">
      <c r="B47" s="4">
        <v>1</v>
      </c>
      <c r="C47" s="6" t="str">
        <f>C46&amp;"-"&amp;B47</f>
        <v>Genesis-1</v>
      </c>
      <c r="D47" s="16" t="str">
        <f>IFERROR(VLOOKUP(C47,WORKSHEET!$O$4:$AM$74,8,FALSE),"")</f>
        <v/>
      </c>
      <c r="E47" s="17" t="str">
        <f>IF(D47="","",VLOOKUP(C47,WORKSHEET!$O$4:$AM$74,9,FALSE))</f>
        <v/>
      </c>
      <c r="F47" s="18" t="str">
        <f>IF(D47="","",VLOOKUP(C47,WORKSHEET!$O$4:$AM$74,10,FALSE))</f>
        <v/>
      </c>
      <c r="G47" s="27" t="str">
        <f>IF(D47="","",IFERROR(F47/E47,0))</f>
        <v/>
      </c>
      <c r="H47" s="17" t="str">
        <f>IF(D47="","",VLOOKUP(C47,WORKSHEET!$O$4:$AM$74,16,FALSE))</f>
        <v/>
      </c>
      <c r="I47" s="19" t="str">
        <f>IF(D47="","",IFERROR(H47/E47,0))</f>
        <v/>
      </c>
      <c r="J47" s="18" t="str">
        <f>IF(D47="","",VLOOKUP(C47,WORKSHEET!$O$4:$AM$74,18,FALSE))</f>
        <v/>
      </c>
      <c r="K47" s="17" t="str">
        <f>IF(D47="","",VLOOKUP(C47,WORKSHEET!$O$4:$AM$74,19,FALSE))</f>
        <v/>
      </c>
      <c r="L47" s="17" t="str">
        <f>IF(D47="","",VLOOKUP(C47,WORKSHEET!$O$4:$AM$74,20,FALSE))</f>
        <v/>
      </c>
      <c r="M47" s="17" t="str">
        <f>IF(D47="","",SUM(J47:L47))</f>
        <v/>
      </c>
      <c r="N47" s="20" t="str">
        <f>IF(D47="","",IFERROR(SUM(J47:L47)/E47,0))</f>
        <v/>
      </c>
      <c r="O47" s="21" t="str">
        <f>IF(D47="","",VLOOKUP(C47,WORKSHEET!$O$4:$AM$74,22,FALSE)+VLOOKUP(C47,WORKSHEET!$O$4:$AM$74,23,FALSE)+VLOOKUP(C47,WORKSHEET!$O$4:$AM$74,24,FALSE))</f>
        <v/>
      </c>
      <c r="P47" s="20" t="str">
        <f>IF(D47="","",IFERROR(O47/E47,0))</f>
        <v/>
      </c>
      <c r="Q47" s="99">
        <v>0.45</v>
      </c>
    </row>
    <row r="48" spans="2:17" s="6" customFormat="1" ht="15.5" x14ac:dyDescent="0.35">
      <c r="D48" s="28" t="s">
        <v>102</v>
      </c>
      <c r="E48" s="29">
        <f>SUM(E47:E47)</f>
        <v>0</v>
      </c>
      <c r="F48" s="30">
        <f>SUM(F47:F47)</f>
        <v>0</v>
      </c>
      <c r="G48" s="27">
        <f>IFERROR(F48/E48,0)</f>
        <v>0</v>
      </c>
      <c r="H48" s="30">
        <f>SUM(H47:H47)</f>
        <v>0</v>
      </c>
      <c r="I48" s="19">
        <f>IFERROR(H48/E48,0)</f>
        <v>0</v>
      </c>
      <c r="J48" s="30">
        <f>SUM(J47)</f>
        <v>0</v>
      </c>
      <c r="K48" s="30">
        <f>SUM(K47)</f>
        <v>0</v>
      </c>
      <c r="L48" s="30">
        <f>SUM(L47)</f>
        <v>0</v>
      </c>
      <c r="M48" s="30">
        <f>SUM(M47:M47)</f>
        <v>0</v>
      </c>
      <c r="N48" s="31">
        <f>IFERROR(SUM(J48:L48)/E48,0)</f>
        <v>0</v>
      </c>
      <c r="O48" s="30">
        <f>SUM(O47:O47)</f>
        <v>0</v>
      </c>
      <c r="P48" s="31">
        <f>IFERROR(O48/E48,0)</f>
        <v>0</v>
      </c>
      <c r="Q48" s="99"/>
    </row>
    <row r="49" spans="2:17" x14ac:dyDescent="0.3">
      <c r="C49" s="6" t="s">
        <v>109</v>
      </c>
      <c r="D49" s="101" t="str">
        <f>C49</f>
        <v>Hyundai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25"/>
    </row>
    <row r="50" spans="2:17" ht="15.5" x14ac:dyDescent="0.35">
      <c r="B50" s="4">
        <v>1</v>
      </c>
      <c r="C50" s="6" t="str">
        <f>C49&amp;"-"&amp;B50</f>
        <v>Hyundai-1</v>
      </c>
      <c r="D50" s="16" t="str">
        <f>IFERROR(VLOOKUP(C50,WORKSHEET!$O$4:$AM$74,8,FALSE),"")</f>
        <v>Round Rock Hyundai</v>
      </c>
      <c r="E50" s="17">
        <f>IF(D50="","",VLOOKUP(C50,WORKSHEET!$O$4:$AM$74,9,FALSE))</f>
        <v>5</v>
      </c>
      <c r="F50" s="18">
        <f>IF(D50="","",VLOOKUP(C50,WORKSHEET!$O$4:$AM$74,10,FALSE))</f>
        <v>1</v>
      </c>
      <c r="G50" s="27">
        <f t="shared" ref="G50" si="44">IF(D50="","",IFERROR(F50/E50,0))</f>
        <v>0.2</v>
      </c>
      <c r="H50" s="17">
        <f>IF(D50="","",VLOOKUP(C50,WORKSHEET!$O$4:$AM$74,16,FALSE))</f>
        <v>3</v>
      </c>
      <c r="I50" s="19">
        <f t="shared" ref="I50" si="45">IF(D50="","",IFERROR(H50/E50,0))</f>
        <v>0.6</v>
      </c>
      <c r="J50" s="18">
        <f>IF(D50="","",VLOOKUP(C50,WORKSHEET!$O$4:$AM$74,18,FALSE))</f>
        <v>0</v>
      </c>
      <c r="K50" s="17">
        <f>IF(D50="","",VLOOKUP(C50,WORKSHEET!$O$4:$AM$74,19,FALSE))</f>
        <v>0</v>
      </c>
      <c r="L50" s="17">
        <f>IF(D50="","",VLOOKUP(C50,WORKSHEET!$O$4:$AM$74,20,FALSE))</f>
        <v>0</v>
      </c>
      <c r="M50" s="17">
        <f t="shared" ref="M50" si="46">IF(D50="","",SUM(J50:L50))</f>
        <v>0</v>
      </c>
      <c r="N50" s="20">
        <f t="shared" ref="N50" si="47">IF(D50="","",IFERROR(SUM(J50:L50)/E50,0))</f>
        <v>0</v>
      </c>
      <c r="O50" s="21">
        <f>IF(D50="","",VLOOKUP(C50,WORKSHEET!$O$4:$AM$74,22,FALSE)+VLOOKUP(C50,WORKSHEET!$O$4:$AM$74,23,FALSE)+VLOOKUP(C50,WORKSHEET!$O$4:$AM$74,24,FALSE))</f>
        <v>2</v>
      </c>
      <c r="P50" s="20">
        <f t="shared" ref="P50" si="48">IF(D50="","",IFERROR(O50/E50,0))</f>
        <v>0.4</v>
      </c>
      <c r="Q50" s="99">
        <v>0.52</v>
      </c>
    </row>
    <row r="51" spans="2:17" s="6" customFormat="1" ht="15.5" x14ac:dyDescent="0.35">
      <c r="D51" s="28" t="s">
        <v>102</v>
      </c>
      <c r="E51" s="29">
        <f>SUM(E50:E50)</f>
        <v>5</v>
      </c>
      <c r="F51" s="30">
        <f>SUM(F50:F50)</f>
        <v>1</v>
      </c>
      <c r="G51" s="27">
        <f>IFERROR(F51/E51,0)</f>
        <v>0.2</v>
      </c>
      <c r="H51" s="30">
        <f>SUM(H50:H50)</f>
        <v>3</v>
      </c>
      <c r="I51" s="19">
        <f>IFERROR(H51/E51,0)</f>
        <v>0.6</v>
      </c>
      <c r="J51" s="30">
        <f>SUM(J50:J50)</f>
        <v>0</v>
      </c>
      <c r="K51" s="30">
        <f>SUM(K50:K50)</f>
        <v>0</v>
      </c>
      <c r="L51" s="30">
        <f>SUM(L50:L50)</f>
        <v>0</v>
      </c>
      <c r="M51" s="30">
        <f t="shared" ref="M51" si="49">SUM(J51:L51)</f>
        <v>0</v>
      </c>
      <c r="N51" s="31">
        <f>IFERROR(SUM(J51:L51)/E51,0)</f>
        <v>0</v>
      </c>
      <c r="O51" s="30">
        <f>SUM(O50:O50)</f>
        <v>2</v>
      </c>
      <c r="P51" s="31">
        <f>IFERROR(O51/E51,0)</f>
        <v>0.4</v>
      </c>
      <c r="Q51" s="99"/>
    </row>
    <row r="52" spans="2:17" x14ac:dyDescent="0.3">
      <c r="C52" s="6" t="s">
        <v>110</v>
      </c>
      <c r="D52" s="101" t="str">
        <f>C52</f>
        <v>LR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25"/>
    </row>
    <row r="53" spans="2:17" ht="15.5" x14ac:dyDescent="0.35">
      <c r="B53" s="4">
        <v>1</v>
      </c>
      <c r="C53" s="6" t="str">
        <f>C52&amp;"-"&amp;B53</f>
        <v>LR-1</v>
      </c>
      <c r="D53" s="16" t="str">
        <f>IFERROR(VLOOKUP(C53,WORKSHEET!$O$4:$AM$74,8,FALSE),"")</f>
        <v>Land Rover North Scottsdale</v>
      </c>
      <c r="E53" s="17">
        <f>IF(D53="","",VLOOKUP(C53,WORKSHEET!$O$4:$AM$74,9,FALSE))</f>
        <v>4</v>
      </c>
      <c r="F53" s="18">
        <f>IF(D53="","",VLOOKUP(C53,WORKSHEET!$O$4:$AM$74,10,FALSE))</f>
        <v>2</v>
      </c>
      <c r="G53" s="27">
        <f t="shared" ref="G53:G54" si="50">IF(D53="","",IFERROR(F53/E53,0))</f>
        <v>0.5</v>
      </c>
      <c r="H53" s="17">
        <f>IF(D53="","",VLOOKUP(C53,WORKSHEET!$O$4:$AM$74,16,FALSE))</f>
        <v>3</v>
      </c>
      <c r="I53" s="19">
        <f t="shared" ref="I53:I54" si="51">IF(D53="","",IFERROR(H53/E53,0))</f>
        <v>0.75</v>
      </c>
      <c r="J53" s="18">
        <f>IF(D53="","",VLOOKUP(C53,WORKSHEET!$O$4:$AM$74,18,FALSE))</f>
        <v>0</v>
      </c>
      <c r="K53" s="17">
        <f>IF(D53="","",VLOOKUP(C53,WORKSHEET!$O$4:$AM$74,19,FALSE))</f>
        <v>0</v>
      </c>
      <c r="L53" s="17">
        <f>IF(D53="","",VLOOKUP(C53,WORKSHEET!$O$4:$AM$74,20,FALSE))</f>
        <v>0</v>
      </c>
      <c r="M53" s="17">
        <f t="shared" ref="M53:M54" si="52">IF(D53="","",SUM(J53:L53))</f>
        <v>0</v>
      </c>
      <c r="N53" s="20">
        <f t="shared" ref="N53:N54" si="53">IF(D53="","",IFERROR(SUM(J53:L53)/E53,0))</f>
        <v>0</v>
      </c>
      <c r="O53" s="21">
        <f>IF(D53="","",VLOOKUP(C53,WORKSHEET!$O$4:$AM$74,22,FALSE)+VLOOKUP(C53,WORKSHEET!$O$4:$AM$74,23,FALSE)+VLOOKUP(C53,WORKSHEET!$O$4:$AM$74,24,FALSE))</f>
        <v>1</v>
      </c>
      <c r="P53" s="20">
        <f t="shared" ref="P53:P54" si="54">IF(D53="","",IFERROR(O53/E53,0))</f>
        <v>0.25</v>
      </c>
      <c r="Q53" s="99">
        <v>0.52</v>
      </c>
    </row>
    <row r="54" spans="2:17" ht="15.5" x14ac:dyDescent="0.35">
      <c r="B54" s="4">
        <v>2</v>
      </c>
      <c r="C54" s="6" t="str">
        <f>C52&amp;"-"&amp;B54</f>
        <v>LR-2</v>
      </c>
      <c r="D54" s="16" t="str">
        <f>IFERROR(VLOOKUP(C54,WORKSHEET!$O$4:$AM$74,8,FALSE),"")</f>
        <v>Land Rover Chandler</v>
      </c>
      <c r="E54" s="17">
        <f>IF(D54="","",VLOOKUP(C54,WORKSHEET!$O$4:$AM$74,9,FALSE))</f>
        <v>1</v>
      </c>
      <c r="F54" s="18">
        <f>IF(D54="","",VLOOKUP(C54,WORKSHEET!$O$4:$AM$74,10,FALSE))</f>
        <v>0</v>
      </c>
      <c r="G54" s="27">
        <f t="shared" si="50"/>
        <v>0</v>
      </c>
      <c r="H54" s="17">
        <f>IF(D54="","",VLOOKUP(C54,WORKSHEET!$O$4:$AM$74,16,FALSE))</f>
        <v>1</v>
      </c>
      <c r="I54" s="19">
        <f t="shared" si="51"/>
        <v>1</v>
      </c>
      <c r="J54" s="18">
        <f>IF(D54="","",VLOOKUP(C54,WORKSHEET!$O$4:$AM$74,18,FALSE))</f>
        <v>0</v>
      </c>
      <c r="K54" s="17">
        <f>IF(D54="","",VLOOKUP(C54,WORKSHEET!$O$4:$AM$74,19,FALSE))</f>
        <v>0</v>
      </c>
      <c r="L54" s="17">
        <f>IF(D54="","",VLOOKUP(C54,WORKSHEET!$O$4:$AM$74,20,FALSE))</f>
        <v>0</v>
      </c>
      <c r="M54" s="17">
        <f t="shared" si="52"/>
        <v>0</v>
      </c>
      <c r="N54" s="20">
        <f t="shared" si="53"/>
        <v>0</v>
      </c>
      <c r="O54" s="21">
        <f>IF(D54="","",VLOOKUP(C54,WORKSHEET!$O$4:$AM$74,22,FALSE)+VLOOKUP(C54,WORKSHEET!$O$4:$AM$74,23,FALSE)+VLOOKUP(C54,WORKSHEET!$O$4:$AM$74,24,FALSE))</f>
        <v>0</v>
      </c>
      <c r="P54" s="20">
        <f t="shared" si="54"/>
        <v>0</v>
      </c>
      <c r="Q54" s="99"/>
    </row>
    <row r="55" spans="2:17" s="6" customFormat="1" ht="15.5" x14ac:dyDescent="0.35">
      <c r="D55" s="28" t="s">
        <v>102</v>
      </c>
      <c r="E55" s="29">
        <f>SUM(E53:E54)</f>
        <v>5</v>
      </c>
      <c r="F55" s="30">
        <f>SUM(F53:F54)</f>
        <v>2</v>
      </c>
      <c r="G55" s="27">
        <f>IFERROR(F55/E55,0)</f>
        <v>0.4</v>
      </c>
      <c r="H55" s="30">
        <f>SUM(H53:H54)</f>
        <v>4</v>
      </c>
      <c r="I55" s="19">
        <f>IFERROR(H55/E55,0)</f>
        <v>0.8</v>
      </c>
      <c r="J55" s="30">
        <f t="shared" ref="J55" si="55">SUM(J53:J54)</f>
        <v>0</v>
      </c>
      <c r="K55" s="30">
        <f t="shared" ref="K55" si="56">SUM(K53:K54)</f>
        <v>0</v>
      </c>
      <c r="L55" s="30">
        <f t="shared" ref="L55" si="57">SUM(L53:L54)</f>
        <v>0</v>
      </c>
      <c r="M55" s="30">
        <f t="shared" ref="M55" si="58">SUM(J55:L55)</f>
        <v>0</v>
      </c>
      <c r="N55" s="31">
        <f>IFERROR(SUM(J55:L55)/E55,0)</f>
        <v>0</v>
      </c>
      <c r="O55" s="30">
        <f>SUM(O53:O54)</f>
        <v>1</v>
      </c>
      <c r="P55" s="31">
        <f>IFERROR(O55/E55,0)</f>
        <v>0.2</v>
      </c>
      <c r="Q55" s="99"/>
    </row>
    <row r="56" spans="2:17" x14ac:dyDescent="0.3">
      <c r="C56" s="6" t="s">
        <v>111</v>
      </c>
      <c r="D56" s="101" t="str">
        <f>C56</f>
        <v>Lexus</v>
      </c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25"/>
    </row>
    <row r="57" spans="2:17" ht="15.5" x14ac:dyDescent="0.35">
      <c r="B57" s="4">
        <v>1</v>
      </c>
      <c r="C57" s="6" t="str">
        <f>C56&amp;"-"&amp;B57</f>
        <v>Lexus-1</v>
      </c>
      <c r="D57" s="16" t="str">
        <f>IFERROR(VLOOKUP(C57,WORKSHEET!$O$4:$AM$74,8,FALSE),"")</f>
        <v>Lexus of Lakeway</v>
      </c>
      <c r="E57" s="17">
        <f>IF(D57="","",VLOOKUP(C57,WORKSHEET!$O$4:$AM$74,9,FALSE))</f>
        <v>10</v>
      </c>
      <c r="F57" s="18">
        <f>IF(D57="","",VLOOKUP(C57,WORKSHEET!$O$4:$AM$74,10,FALSE))</f>
        <v>6</v>
      </c>
      <c r="G57" s="27">
        <f t="shared" ref="G57:G61" si="59">IF(D57="","",IFERROR(F57/E57,0))</f>
        <v>0.6</v>
      </c>
      <c r="H57" s="17">
        <f>IF(D57="","",VLOOKUP(C57,WORKSHEET!$O$4:$AM$74,16,FALSE))</f>
        <v>9</v>
      </c>
      <c r="I57" s="19">
        <f t="shared" ref="I57:I61" si="60">IF(D57="","",IFERROR(H57/E57,0))</f>
        <v>0.9</v>
      </c>
      <c r="J57" s="18">
        <f>IF(D57="","",VLOOKUP(C57,WORKSHEET!$O$4:$AM$74,18,FALSE))</f>
        <v>0</v>
      </c>
      <c r="K57" s="17">
        <f>IF(D57="","",VLOOKUP(C57,WORKSHEET!$O$4:$AM$74,19,FALSE))</f>
        <v>0</v>
      </c>
      <c r="L57" s="17">
        <f>IF(D57="","",VLOOKUP(C57,WORKSHEET!$O$4:$AM$74,20,FALSE))</f>
        <v>0</v>
      </c>
      <c r="M57" s="17">
        <f t="shared" ref="M57:M61" si="61">IF(D57="","",SUM(J57:L57))</f>
        <v>0</v>
      </c>
      <c r="N57" s="20">
        <f t="shared" ref="N57:N61" si="62">IF(D57="","",IFERROR(SUM(J57:L57)/E57,0))</f>
        <v>0</v>
      </c>
      <c r="O57" s="21">
        <f>IF(D57="","",VLOOKUP(C57,WORKSHEET!$O$4:$AM$74,22,FALSE)+VLOOKUP(C57,WORKSHEET!$O$4:$AM$74,23,FALSE)+VLOOKUP(C57,WORKSHEET!$O$4:$AM$74,24,FALSE))</f>
        <v>1</v>
      </c>
      <c r="P57" s="20">
        <f t="shared" ref="P57:P61" si="63">IF(D57="","",IFERROR(O57/E57,0))</f>
        <v>0.1</v>
      </c>
      <c r="Q57" s="99">
        <v>0.53</v>
      </c>
    </row>
    <row r="58" spans="2:17" ht="15.5" x14ac:dyDescent="0.35">
      <c r="B58" s="4">
        <v>2</v>
      </c>
      <c r="C58" s="6" t="str">
        <f>C56&amp;"-"&amp;B58</f>
        <v>Lexus-2</v>
      </c>
      <c r="D58" s="16" t="str">
        <f>IFERROR(VLOOKUP(C58,WORKSHEET!$O$4:$AM$74,8,FALSE),"")</f>
        <v>Lexus of Austin</v>
      </c>
      <c r="E58" s="17">
        <f>IF(D58="","",VLOOKUP(C58,WORKSHEET!$O$4:$AM$74,9,FALSE))</f>
        <v>14</v>
      </c>
      <c r="F58" s="18">
        <f>IF(D58="","",VLOOKUP(C58,WORKSHEET!$O$4:$AM$74,10,FALSE))</f>
        <v>7</v>
      </c>
      <c r="G58" s="27">
        <f t="shared" si="59"/>
        <v>0.5</v>
      </c>
      <c r="H58" s="17">
        <f>IF(D58="","",VLOOKUP(C58,WORKSHEET!$O$4:$AM$74,16,FALSE))</f>
        <v>11</v>
      </c>
      <c r="I58" s="19">
        <f t="shared" si="60"/>
        <v>0.7857142857142857</v>
      </c>
      <c r="J58" s="18">
        <f>IF(D58="","",VLOOKUP(C58,WORKSHEET!$O$4:$AM$74,18,FALSE))</f>
        <v>0</v>
      </c>
      <c r="K58" s="17">
        <f>IF(D58="","",VLOOKUP(C58,WORKSHEET!$O$4:$AM$74,19,FALSE))</f>
        <v>0</v>
      </c>
      <c r="L58" s="17">
        <f>IF(D58="","",VLOOKUP(C58,WORKSHEET!$O$4:$AM$74,20,FALSE))</f>
        <v>0</v>
      </c>
      <c r="M58" s="17">
        <f t="shared" si="61"/>
        <v>0</v>
      </c>
      <c r="N58" s="20">
        <f t="shared" si="62"/>
        <v>0</v>
      </c>
      <c r="O58" s="21">
        <f>IF(D58="","",VLOOKUP(C58,WORKSHEET!$O$4:$AM$74,22,FALSE)+VLOOKUP(C58,WORKSHEET!$O$4:$AM$74,23,FALSE)+VLOOKUP(C58,WORKSHEET!$O$4:$AM$74,24,FALSE))</f>
        <v>3</v>
      </c>
      <c r="P58" s="20">
        <f t="shared" si="63"/>
        <v>0.21428571428571427</v>
      </c>
      <c r="Q58" s="99"/>
    </row>
    <row r="59" spans="2:17" ht="15.5" x14ac:dyDescent="0.35">
      <c r="B59" s="4">
        <v>3</v>
      </c>
      <c r="C59" s="6" t="str">
        <f>C56&amp;"-"&amp;B59</f>
        <v>Lexus-3</v>
      </c>
      <c r="D59" s="16" t="str">
        <f>IFERROR(VLOOKUP(C59,WORKSHEET!$O$4:$AM$74,8,FALSE),"")</f>
        <v>Lexus of Chandler</v>
      </c>
      <c r="E59" s="17">
        <f>IF(D59="","",VLOOKUP(C59,WORKSHEET!$O$4:$AM$74,9,FALSE))</f>
        <v>2</v>
      </c>
      <c r="F59" s="18">
        <f>IF(D59="","",VLOOKUP(C59,WORKSHEET!$O$4:$AM$74,10,FALSE))</f>
        <v>1</v>
      </c>
      <c r="G59" s="27">
        <f t="shared" ref="G59" si="64">IF(D59="","",IFERROR(F59/E59,0))</f>
        <v>0.5</v>
      </c>
      <c r="H59" s="17">
        <f>IF(D59="","",VLOOKUP(C59,WORKSHEET!$O$4:$AM$74,16,FALSE))</f>
        <v>1</v>
      </c>
      <c r="I59" s="19">
        <f t="shared" ref="I59" si="65">IF(D59="","",IFERROR(H59/E59,0))</f>
        <v>0.5</v>
      </c>
      <c r="J59" s="18">
        <f>IF(D59="","",VLOOKUP(C59,WORKSHEET!$O$4:$AM$74,18,FALSE))</f>
        <v>0</v>
      </c>
      <c r="K59" s="17">
        <f>IF(D59="","",VLOOKUP(C59,WORKSHEET!$O$4:$AM$74,19,FALSE))</f>
        <v>0</v>
      </c>
      <c r="L59" s="17">
        <f>IF(D59="","",VLOOKUP(C59,WORKSHEET!$O$4:$AM$74,20,FALSE))</f>
        <v>0</v>
      </c>
      <c r="M59" s="17">
        <f t="shared" ref="M59" si="66">IF(D59="","",SUM(J59:L59))</f>
        <v>0</v>
      </c>
      <c r="N59" s="20">
        <f t="shared" ref="N59" si="67">IF(D59="","",IFERROR(SUM(J59:L59)/E59,0))</f>
        <v>0</v>
      </c>
      <c r="O59" s="21">
        <f>IF(D59="","",VLOOKUP(C59,WORKSHEET!$O$4:$AM$74,22,FALSE)+VLOOKUP(C59,WORKSHEET!$O$4:$AM$74,23,FALSE)+VLOOKUP(C59,WORKSHEET!$O$4:$AM$74,24,FALSE))</f>
        <v>1</v>
      </c>
      <c r="P59" s="20">
        <f t="shared" ref="P59" si="68">IF(D59="","",IFERROR(O59/E59,0))</f>
        <v>0.5</v>
      </c>
      <c r="Q59" s="99"/>
    </row>
    <row r="60" spans="2:17" ht="15.5" hidden="1" x14ac:dyDescent="0.35">
      <c r="B60" s="4">
        <v>4</v>
      </c>
      <c r="C60" s="6" t="str">
        <f>C56&amp;"-"&amp;B60</f>
        <v>Lexus-4</v>
      </c>
      <c r="D60" s="16" t="str">
        <f>IFERROR(VLOOKUP(C60,WORKSHEET!$O$4:$AM$74,8,FALSE),"")</f>
        <v>Lexus San Diego</v>
      </c>
      <c r="E60" s="17">
        <f>IF(D60="","",VLOOKUP(C60,WORKSHEET!$O$4:$AM$74,9,FALSE))</f>
        <v>8</v>
      </c>
      <c r="F60" s="18">
        <f>IF(D60="","",VLOOKUP(C60,WORKSHEET!$O$4:$AM$74,10,FALSE))</f>
        <v>4</v>
      </c>
      <c r="G60" s="27">
        <f t="shared" si="59"/>
        <v>0.5</v>
      </c>
      <c r="H60" s="17">
        <f>IF(D60="","",VLOOKUP(C60,WORKSHEET!$O$4:$AM$74,16,FALSE))</f>
        <v>6</v>
      </c>
      <c r="I60" s="19">
        <f t="shared" si="60"/>
        <v>0.75</v>
      </c>
      <c r="J60" s="18">
        <f>IF(D60="","",VLOOKUP(C60,WORKSHEET!$O$4:$AM$74,18,FALSE))</f>
        <v>2</v>
      </c>
      <c r="K60" s="17">
        <f>IF(D60="","",VLOOKUP(C60,WORKSHEET!$O$4:$AM$74,19,FALSE))</f>
        <v>0</v>
      </c>
      <c r="L60" s="17">
        <f>IF(D60="","",VLOOKUP(C60,WORKSHEET!$O$4:$AM$74,20,FALSE))</f>
        <v>0</v>
      </c>
      <c r="M60" s="17">
        <f t="shared" si="61"/>
        <v>2</v>
      </c>
      <c r="N60" s="20">
        <f t="shared" si="62"/>
        <v>0.25</v>
      </c>
      <c r="O60" s="21">
        <f>IF(D60="","",VLOOKUP(C60,WORKSHEET!$O$4:$AM$74,22,FALSE)+VLOOKUP(C60,WORKSHEET!$O$4:$AM$74,23,FALSE)+VLOOKUP(C60,WORKSHEET!$O$4:$AM$74,24,FALSE))</f>
        <v>0</v>
      </c>
      <c r="P60" s="20">
        <f t="shared" si="63"/>
        <v>0</v>
      </c>
      <c r="Q60" s="99"/>
    </row>
    <row r="61" spans="2:17" ht="15.5" hidden="1" x14ac:dyDescent="0.35">
      <c r="B61" s="4">
        <v>5</v>
      </c>
      <c r="C61" s="6" t="str">
        <f>C56&amp;"-"&amp;B61</f>
        <v>Lexus-5</v>
      </c>
      <c r="D61" s="16" t="str">
        <f>IFERROR(VLOOKUP(C61,WORKSHEET!$O$4:$AM$74,8,FALSE),"")</f>
        <v/>
      </c>
      <c r="E61" s="17" t="str">
        <f>IF(D61="","",VLOOKUP(C61,WORKSHEET!$O$4:$AM$74,9,FALSE))</f>
        <v/>
      </c>
      <c r="F61" s="18" t="str">
        <f>IF(D61="","",VLOOKUP(C61,WORKSHEET!$O$4:$AM$74,10,FALSE))</f>
        <v/>
      </c>
      <c r="G61" s="27" t="str">
        <f t="shared" si="59"/>
        <v/>
      </c>
      <c r="H61" s="17" t="str">
        <f>IF(D61="","",VLOOKUP(C61,WORKSHEET!$O$4:$AM$74,16,FALSE))</f>
        <v/>
      </c>
      <c r="I61" s="19" t="str">
        <f t="shared" si="60"/>
        <v/>
      </c>
      <c r="J61" s="18" t="str">
        <f>IF(D61="","",VLOOKUP(C61,WORKSHEET!$O$4:$AM$74,18,FALSE))</f>
        <v/>
      </c>
      <c r="K61" s="17" t="str">
        <f>IF(D61="","",VLOOKUP(C61,WORKSHEET!$O$4:$AM$74,19,FALSE))</f>
        <v/>
      </c>
      <c r="L61" s="17" t="str">
        <f>IF(D61="","",VLOOKUP(C61,WORKSHEET!$O$4:$AM$74,20,FALSE))</f>
        <v/>
      </c>
      <c r="M61" s="17" t="str">
        <f t="shared" si="61"/>
        <v/>
      </c>
      <c r="N61" s="20" t="str">
        <f t="shared" si="62"/>
        <v/>
      </c>
      <c r="O61" s="21" t="str">
        <f>IF(D61="","",VLOOKUP(C61,WORKSHEET!$O$4:$AM$74,22,FALSE)+VLOOKUP(C61,WORKSHEET!$O$4:$AM$74,23,FALSE)+VLOOKUP(C61,WORKSHEET!$O$4:$AM$74,24,FALSE))</f>
        <v/>
      </c>
      <c r="P61" s="20" t="str">
        <f t="shared" si="63"/>
        <v/>
      </c>
      <c r="Q61" s="99"/>
    </row>
    <row r="62" spans="2:17" s="6" customFormat="1" ht="15.5" x14ac:dyDescent="0.35">
      <c r="D62" s="28" t="s">
        <v>102</v>
      </c>
      <c r="E62" s="29">
        <f>SUM(E57:E61)</f>
        <v>34</v>
      </c>
      <c r="F62" s="30">
        <f>SUM(F57:F61)</f>
        <v>18</v>
      </c>
      <c r="G62" s="27">
        <f>IFERROR(F62/E62,0)</f>
        <v>0.52941176470588236</v>
      </c>
      <c r="H62" s="30">
        <f>SUM(H57:H61)</f>
        <v>27</v>
      </c>
      <c r="I62" s="19">
        <f>IFERROR(H62/E62,0)</f>
        <v>0.79411764705882348</v>
      </c>
      <c r="J62" s="30">
        <f t="shared" ref="J62" si="69">SUM(J57:J61)</f>
        <v>2</v>
      </c>
      <c r="K62" s="30">
        <f t="shared" ref="K62" si="70">SUM(K57:K61)</f>
        <v>0</v>
      </c>
      <c r="L62" s="30">
        <f t="shared" ref="L62" si="71">SUM(L57:L61)</f>
        <v>0</v>
      </c>
      <c r="M62" s="30">
        <f t="shared" ref="M62" si="72">SUM(J62:L62)</f>
        <v>2</v>
      </c>
      <c r="N62" s="31">
        <f>IFERROR(SUM(J62:L62)/E62,0)</f>
        <v>5.8823529411764705E-2</v>
      </c>
      <c r="O62" s="30">
        <f>SUM(O57:O61)</f>
        <v>5</v>
      </c>
      <c r="P62" s="31">
        <f>IFERROR(O62/E62,0)</f>
        <v>0.14705882352941177</v>
      </c>
      <c r="Q62" s="99"/>
    </row>
    <row r="63" spans="2:17" x14ac:dyDescent="0.3">
      <c r="C63" s="6" t="s">
        <v>112</v>
      </c>
      <c r="D63" s="101" t="str">
        <f>C63</f>
        <v>Lincoln</v>
      </c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25"/>
    </row>
    <row r="64" spans="2:17" ht="15.5" x14ac:dyDescent="0.35">
      <c r="B64" s="4">
        <v>1</v>
      </c>
      <c r="C64" s="6" t="str">
        <f>C63&amp;"-"&amp;B64</f>
        <v>Lincoln-1</v>
      </c>
      <c r="D64" s="16" t="str">
        <f>IFERROR(VLOOKUP(C64,WORKSHEET!$O$4:$AM$74,8,FALSE),"")</f>
        <v>Lincoln South Coast</v>
      </c>
      <c r="E64" s="17">
        <f>IF(D64="","",VLOOKUP(C64,WORKSHEET!$O$4:$AM$74,9,FALSE))</f>
        <v>7</v>
      </c>
      <c r="F64" s="18">
        <f>IF(D64="","",VLOOKUP(C64,WORKSHEET!$O$4:$AM$74,10,FALSE))</f>
        <v>1</v>
      </c>
      <c r="G64" s="27">
        <f>IF(D64="","",IFERROR(F64/E64,0))</f>
        <v>0.14285714285714285</v>
      </c>
      <c r="H64" s="17">
        <f>IF(D64="","",VLOOKUP(C64,WORKSHEET!$O$4:$AM$74,16,FALSE))</f>
        <v>3</v>
      </c>
      <c r="I64" s="19">
        <f>IF(D64="","",IFERROR(H64/E64,0))</f>
        <v>0.42857142857142855</v>
      </c>
      <c r="J64" s="18">
        <f>IF(D64="","",VLOOKUP(C64,WORKSHEET!$O$4:$AM$74,18,FALSE))</f>
        <v>0</v>
      </c>
      <c r="K64" s="17">
        <f>IF(D64="","",VLOOKUP(C64,WORKSHEET!$O$4:$AM$74,19,FALSE))</f>
        <v>2</v>
      </c>
      <c r="L64" s="17">
        <f>IF(D64="","",VLOOKUP(C64,WORKSHEET!$O$4:$AM$74,20,FALSE))</f>
        <v>0</v>
      </c>
      <c r="M64" s="17">
        <f>IF(D64="","",SUM(J64:L64))</f>
        <v>2</v>
      </c>
      <c r="N64" s="20">
        <f>IF(D64="","",IFERROR(SUM(J64:L64)/E64,0))</f>
        <v>0.2857142857142857</v>
      </c>
      <c r="O64" s="21">
        <f>IF(D64="","",VLOOKUP(C64,WORKSHEET!$O$4:$AM$74,22,FALSE)+VLOOKUP(C64,WORKSHEET!$O$4:$AM$74,23,FALSE)+VLOOKUP(C64,WORKSHEET!$O$4:$AM$74,24,FALSE))</f>
        <v>2</v>
      </c>
      <c r="P64" s="20">
        <f>IF(D64="","",IFERROR(O64/E64,0))</f>
        <v>0.2857142857142857</v>
      </c>
      <c r="Q64" s="99">
        <v>0.45</v>
      </c>
    </row>
    <row r="65" spans="2:17" s="6" customFormat="1" ht="15.5" x14ac:dyDescent="0.35">
      <c r="D65" s="28" t="s">
        <v>102</v>
      </c>
      <c r="E65" s="29">
        <f>SUM(E64)</f>
        <v>7</v>
      </c>
      <c r="F65" s="30">
        <f>SUM(F64)</f>
        <v>1</v>
      </c>
      <c r="G65" s="27">
        <f>IFERROR(F65/E65,0)</f>
        <v>0.14285714285714285</v>
      </c>
      <c r="H65" s="30">
        <f>SUM(H64)</f>
        <v>3</v>
      </c>
      <c r="I65" s="19">
        <f>IFERROR(H65/E65,0)</f>
        <v>0.42857142857142855</v>
      </c>
      <c r="J65" s="30">
        <f t="shared" ref="J65" si="73">SUM(J64)</f>
        <v>0</v>
      </c>
      <c r="K65" s="30">
        <f t="shared" ref="K65" si="74">SUM(K64)</f>
        <v>2</v>
      </c>
      <c r="L65" s="30">
        <f t="shared" ref="L65" si="75">SUM(L64)</f>
        <v>0</v>
      </c>
      <c r="M65" s="30">
        <f t="shared" ref="M65" si="76">SUM(J65:L65)</f>
        <v>2</v>
      </c>
      <c r="N65" s="31">
        <f>IFERROR(SUM(J65:L65)/E65,0)</f>
        <v>0.2857142857142857</v>
      </c>
      <c r="O65" s="30">
        <f>SUM(O64)</f>
        <v>2</v>
      </c>
      <c r="P65" s="31">
        <f>IFERROR(O65/E65,0)</f>
        <v>0.2857142857142857</v>
      </c>
      <c r="Q65" s="99"/>
    </row>
    <row r="66" spans="2:17" x14ac:dyDescent="0.3">
      <c r="C66" s="6" t="s">
        <v>113</v>
      </c>
      <c r="D66" s="101" t="str">
        <f>C66</f>
        <v>Mazda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25"/>
    </row>
    <row r="67" spans="2:17" ht="15.5" x14ac:dyDescent="0.35">
      <c r="B67" s="4">
        <v>1</v>
      </c>
      <c r="C67" s="6" t="str">
        <f>C66&amp;"-"&amp;B67</f>
        <v>Mazda-1</v>
      </c>
      <c r="D67" s="16" t="str">
        <f>IFERROR(VLOOKUP(C67,WORKSHEET!$O$4:$AM$74,8,FALSE),"")</f>
        <v>Mazda of Escondido</v>
      </c>
      <c r="E67" s="17">
        <f>IF(D67="","",VLOOKUP(C67,WORKSHEET!$O$4:$AM$74,9,FALSE))</f>
        <v>17</v>
      </c>
      <c r="F67" s="18">
        <f>IF(D67="","",VLOOKUP(C67,WORKSHEET!$O$4:$AM$74,10,FALSE))</f>
        <v>4</v>
      </c>
      <c r="G67" s="27">
        <f>IF(D67="","",IFERROR(F67/E67,0))</f>
        <v>0.23529411764705882</v>
      </c>
      <c r="H67" s="17">
        <f>IF(D67="","",VLOOKUP(C67,WORKSHEET!$O$4:$AM$74,16,FALSE))</f>
        <v>12</v>
      </c>
      <c r="I67" s="19">
        <f>IF(D67="","",IFERROR(H67/E67,0))</f>
        <v>0.70588235294117652</v>
      </c>
      <c r="J67" s="18">
        <f>IF(D67="","",VLOOKUP(C67,WORKSHEET!$O$4:$AM$74,18,FALSE))</f>
        <v>0</v>
      </c>
      <c r="K67" s="17">
        <f>IF(D67="","",VLOOKUP(C67,WORKSHEET!$O$4:$AM$74,19,FALSE))</f>
        <v>0</v>
      </c>
      <c r="L67" s="17">
        <f>IF(D67="","",VLOOKUP(C67,WORKSHEET!$O$4:$AM$74,20,FALSE))</f>
        <v>0</v>
      </c>
      <c r="M67" s="17">
        <f>IF(D67="","",SUM(J67:L67))</f>
        <v>0</v>
      </c>
      <c r="N67" s="20">
        <f>IF(D67="","",IFERROR(SUM(J67:L67)/E67,0))</f>
        <v>0</v>
      </c>
      <c r="O67" s="21">
        <f>IF(D67="","",VLOOKUP(C67,WORKSHEET!$O$4:$AM$74,22,FALSE)+VLOOKUP(C67,WORKSHEET!$O$4:$AM$74,23,FALSE)+VLOOKUP(C67,WORKSHEET!$O$4:$AM$74,24,FALSE))</f>
        <v>5</v>
      </c>
      <c r="P67" s="20">
        <f>IF(D67="","",IFERROR(O67/E67,0))</f>
        <v>0.29411764705882354</v>
      </c>
      <c r="Q67" s="99">
        <v>0.7</v>
      </c>
    </row>
    <row r="68" spans="2:17" s="6" customFormat="1" ht="15.5" x14ac:dyDescent="0.35">
      <c r="D68" s="28" t="s">
        <v>102</v>
      </c>
      <c r="E68" s="29">
        <f>SUM(E67)</f>
        <v>17</v>
      </c>
      <c r="F68" s="30">
        <f>SUM(F67)</f>
        <v>4</v>
      </c>
      <c r="G68" s="27">
        <f>IFERROR(F68/E68,0)</f>
        <v>0.23529411764705882</v>
      </c>
      <c r="H68" s="30">
        <f>SUM(H67)</f>
        <v>12</v>
      </c>
      <c r="I68" s="19">
        <f>IFERROR(H68/E68,0)</f>
        <v>0.70588235294117652</v>
      </c>
      <c r="J68" s="30">
        <f t="shared" ref="J68" si="77">SUM(J67)</f>
        <v>0</v>
      </c>
      <c r="K68" s="30">
        <f t="shared" ref="K68" si="78">SUM(K67)</f>
        <v>0</v>
      </c>
      <c r="L68" s="30">
        <f t="shared" ref="L68" si="79">SUM(L67)</f>
        <v>0</v>
      </c>
      <c r="M68" s="30">
        <f t="shared" ref="M68" si="80">SUM(J68:L68)</f>
        <v>0</v>
      </c>
      <c r="N68" s="31">
        <f>IFERROR(SUM(J68:L68)/E68,0)</f>
        <v>0</v>
      </c>
      <c r="O68" s="30">
        <f>SUM(O67)</f>
        <v>5</v>
      </c>
      <c r="P68" s="31">
        <f>IFERROR(O68/E68,0)</f>
        <v>0.29411764705882354</v>
      </c>
      <c r="Q68" s="99"/>
    </row>
    <row r="69" spans="2:17" x14ac:dyDescent="0.3">
      <c r="C69" s="6" t="s">
        <v>114</v>
      </c>
      <c r="D69" s="101" t="str">
        <f>C69</f>
        <v>Mercedes-Benz</v>
      </c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25"/>
    </row>
    <row r="70" spans="2:17" ht="15.5" x14ac:dyDescent="0.35">
      <c r="B70" s="4">
        <v>1</v>
      </c>
      <c r="C70" s="6" t="str">
        <f>C69&amp;"-"&amp;B70</f>
        <v>Mercedes-Benz-1</v>
      </c>
      <c r="D70" s="16" t="str">
        <f>IFERROR(VLOOKUP(C70,WORKSHEET!$O$4:$AM$74,8,FALSE),"")</f>
        <v>Mercedes-Benz of North Scottsdale</v>
      </c>
      <c r="E70" s="17">
        <f>IF(D70="","",VLOOKUP(C70,WORKSHEET!$O$4:$AM$74,9,FALSE))</f>
        <v>16</v>
      </c>
      <c r="F70" s="18">
        <f>IF(D70="","",VLOOKUP(C70,WORKSHEET!$O$4:$AM$74,10,FALSE))</f>
        <v>7</v>
      </c>
      <c r="G70" s="27">
        <f t="shared" ref="G70:G72" si="81">IF(D70="","",IFERROR(F70/E70,0))</f>
        <v>0.4375</v>
      </c>
      <c r="H70" s="17">
        <f>IF(D70="","",VLOOKUP(C70,WORKSHEET!$O$4:$AM$74,16,FALSE))</f>
        <v>13</v>
      </c>
      <c r="I70" s="19">
        <f t="shared" ref="I70:I72" si="82">IF(D70="","",IFERROR(H70/E70,0))</f>
        <v>0.8125</v>
      </c>
      <c r="J70" s="18">
        <f>IF(D70="","",VLOOKUP(C70,WORKSHEET!$O$4:$AM$74,18,FALSE))</f>
        <v>0</v>
      </c>
      <c r="K70" s="17">
        <f>IF(D70="","",VLOOKUP(C70,WORKSHEET!$O$4:$AM$74,19,FALSE))</f>
        <v>0</v>
      </c>
      <c r="L70" s="17">
        <f>IF(D70="","",VLOOKUP(C70,WORKSHEET!$O$4:$AM$74,20,FALSE))</f>
        <v>0</v>
      </c>
      <c r="M70" s="17">
        <f t="shared" ref="M70:M72" si="83">IF(D70="","",SUM(J70:L70))</f>
        <v>0</v>
      </c>
      <c r="N70" s="20">
        <f t="shared" ref="N70:N72" si="84">IF(D70="","",IFERROR(SUM(J70:L70)/E70,0))</f>
        <v>0</v>
      </c>
      <c r="O70" s="21">
        <f>IF(D70="","",VLOOKUP(C70,WORKSHEET!$O$4:$AM$74,22,FALSE)+VLOOKUP(C70,WORKSHEET!$O$4:$AM$74,23,FALSE)+VLOOKUP(C70,WORKSHEET!$O$4:$AM$74,24,FALSE))</f>
        <v>3</v>
      </c>
      <c r="P70" s="20">
        <f t="shared" ref="P70:P72" si="85">IF(D70="","",IFERROR(O70/E70,0))</f>
        <v>0.1875</v>
      </c>
      <c r="Q70" s="99">
        <v>0.52</v>
      </c>
    </row>
    <row r="71" spans="2:17" ht="17.149999999999999" customHeight="1" x14ac:dyDescent="0.35">
      <c r="B71" s="4">
        <v>2</v>
      </c>
      <c r="C71" s="6" t="str">
        <f>C69&amp;"-"&amp;B71</f>
        <v>Mercedes-Benz-2</v>
      </c>
      <c r="D71" s="16" t="str">
        <f>IFERROR(VLOOKUP(C71,WORKSHEET!$O$4:$AM$74,8,FALSE),"")</f>
        <v>Mercedes-Benz of San Diego</v>
      </c>
      <c r="E71" s="17">
        <f>IF(D71="","",VLOOKUP(C71,WORKSHEET!$O$4:$AM$74,9,FALSE))</f>
        <v>24</v>
      </c>
      <c r="F71" s="18">
        <f>IF(D71="","",VLOOKUP(C71,WORKSHEET!$O$4:$AM$74,10,FALSE))</f>
        <v>10</v>
      </c>
      <c r="G71" s="27">
        <f t="shared" si="81"/>
        <v>0.41666666666666669</v>
      </c>
      <c r="H71" s="17">
        <f>IF(D71="","",VLOOKUP(C71,WORKSHEET!$O$4:$AM$74,16,FALSE))</f>
        <v>15</v>
      </c>
      <c r="I71" s="19">
        <f t="shared" si="82"/>
        <v>0.625</v>
      </c>
      <c r="J71" s="18">
        <f>IF(D71="","",VLOOKUP(C71,WORKSHEET!$O$4:$AM$74,18,FALSE))</f>
        <v>4</v>
      </c>
      <c r="K71" s="17">
        <f>IF(D71="","",VLOOKUP(C71,WORKSHEET!$O$4:$AM$74,19,FALSE))</f>
        <v>0</v>
      </c>
      <c r="L71" s="17">
        <f>IF(D71="","",VLOOKUP(C71,WORKSHEET!$O$4:$AM$74,20,FALSE))</f>
        <v>0</v>
      </c>
      <c r="M71" s="17">
        <f t="shared" si="83"/>
        <v>4</v>
      </c>
      <c r="N71" s="20">
        <f t="shared" si="84"/>
        <v>0.16666666666666666</v>
      </c>
      <c r="O71" s="21">
        <f>IF(D71="","",VLOOKUP(C71,WORKSHEET!$O$4:$AM$74,22,FALSE)+VLOOKUP(C71,WORKSHEET!$O$4:$AM$74,23,FALSE)+VLOOKUP(C71,WORKSHEET!$O$4:$AM$74,24,FALSE))</f>
        <v>5</v>
      </c>
      <c r="P71" s="20">
        <f t="shared" si="85"/>
        <v>0.20833333333333334</v>
      </c>
      <c r="Q71" s="99"/>
    </row>
    <row r="72" spans="2:17" ht="15.5" x14ac:dyDescent="0.35">
      <c r="B72" s="4">
        <v>3</v>
      </c>
      <c r="C72" s="6" t="str">
        <f>C69&amp;"-"&amp;B72</f>
        <v>Mercedes-Benz-3</v>
      </c>
      <c r="D72" s="16" t="str">
        <f>IFERROR(VLOOKUP(C72,WORKSHEET!$O$4:$AM$74,8,FALSE),"")</f>
        <v>Mercedes-Benz of Chandler</v>
      </c>
      <c r="E72" s="17">
        <f>IF(D72="","",VLOOKUP(C72,WORKSHEET!$O$4:$AM$74,9,FALSE))</f>
        <v>3</v>
      </c>
      <c r="F72" s="18">
        <f>IF(D72="","",VLOOKUP(C72,WORKSHEET!$O$4:$AM$74,10,FALSE))</f>
        <v>1</v>
      </c>
      <c r="G72" s="27">
        <f t="shared" si="81"/>
        <v>0.33333333333333331</v>
      </c>
      <c r="H72" s="17">
        <f>IF(D72="","",VLOOKUP(C72,WORKSHEET!$O$4:$AM$74,16,FALSE))</f>
        <v>2</v>
      </c>
      <c r="I72" s="19">
        <f t="shared" si="82"/>
        <v>0.66666666666666663</v>
      </c>
      <c r="J72" s="18">
        <f>IF(D72="","",VLOOKUP(C72,WORKSHEET!$O$4:$AM$74,18,FALSE))</f>
        <v>0</v>
      </c>
      <c r="K72" s="17">
        <f>IF(D72="","",VLOOKUP(C72,WORKSHEET!$O$4:$AM$74,19,FALSE))</f>
        <v>0</v>
      </c>
      <c r="L72" s="17">
        <f>IF(D72="","",VLOOKUP(C72,WORKSHEET!$O$4:$AM$74,20,FALSE))</f>
        <v>0</v>
      </c>
      <c r="M72" s="17">
        <f t="shared" si="83"/>
        <v>0</v>
      </c>
      <c r="N72" s="20">
        <f t="shared" si="84"/>
        <v>0</v>
      </c>
      <c r="O72" s="21">
        <f>IF(D72="","",VLOOKUP(C72,WORKSHEET!$O$4:$AM$74,22,FALSE)+VLOOKUP(C72,WORKSHEET!$O$4:$AM$74,23,FALSE)+VLOOKUP(C72,WORKSHEET!$O$4:$AM$74,24,FALSE))</f>
        <v>1</v>
      </c>
      <c r="P72" s="20">
        <f t="shared" si="85"/>
        <v>0.33333333333333331</v>
      </c>
      <c r="Q72" s="99"/>
    </row>
    <row r="73" spans="2:17" s="6" customFormat="1" ht="15.5" x14ac:dyDescent="0.35">
      <c r="D73" s="28" t="s">
        <v>102</v>
      </c>
      <c r="E73" s="29">
        <f>SUM(E70:E72)</f>
        <v>43</v>
      </c>
      <c r="F73" s="30">
        <f>SUM(F70:F72)</f>
        <v>18</v>
      </c>
      <c r="G73" s="27">
        <f>IFERROR(F73/E73,0)</f>
        <v>0.41860465116279072</v>
      </c>
      <c r="H73" s="30">
        <f>SUM(H70:H72)</f>
        <v>30</v>
      </c>
      <c r="I73" s="19">
        <f>IFERROR(H73/E73,0)</f>
        <v>0.69767441860465118</v>
      </c>
      <c r="J73" s="30">
        <f t="shared" ref="J73:L73" si="86">SUM(J70:J72)</f>
        <v>4</v>
      </c>
      <c r="K73" s="30">
        <f t="shared" si="86"/>
        <v>0</v>
      </c>
      <c r="L73" s="30">
        <f t="shared" si="86"/>
        <v>0</v>
      </c>
      <c r="M73" s="30">
        <f t="shared" ref="M73" si="87">SUM(J73:L73)</f>
        <v>4</v>
      </c>
      <c r="N73" s="31">
        <f>IFERROR(SUM(J73:L73)/E73,0)</f>
        <v>9.3023255813953487E-2</v>
      </c>
      <c r="O73" s="30">
        <f>SUM(O70:O72)</f>
        <v>9</v>
      </c>
      <c r="P73" s="31">
        <f>IFERROR(O73/E73,0)</f>
        <v>0.20930232558139536</v>
      </c>
      <c r="Q73" s="99"/>
    </row>
    <row r="74" spans="2:17" x14ac:dyDescent="0.3">
      <c r="C74" s="6" t="s">
        <v>115</v>
      </c>
      <c r="D74" s="101" t="str">
        <f>C74</f>
        <v>MINI</v>
      </c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25"/>
    </row>
    <row r="75" spans="2:17" ht="15.5" x14ac:dyDescent="0.35">
      <c r="B75" s="4">
        <v>1</v>
      </c>
      <c r="C75" s="6" t="str">
        <f>C74&amp;"-"&amp;B75</f>
        <v>MINI-1</v>
      </c>
      <c r="D75" s="16" t="str">
        <f>IFERROR(VLOOKUP(C75,WORKSHEET!$O$4:$AM$74,8,FALSE),"")</f>
        <v>MINI North Scottsdale</v>
      </c>
      <c r="E75" s="17">
        <f>IF(D75="","",VLOOKUP(C75,WORKSHEET!$O$4:$AM$74,9,FALSE))</f>
        <v>2</v>
      </c>
      <c r="F75" s="18">
        <f>IF(D75="","",VLOOKUP(C75,WORKSHEET!$O$4:$AM$74,10,FALSE))</f>
        <v>1</v>
      </c>
      <c r="G75" s="27">
        <f t="shared" ref="G75:G77" si="88">IF(D75="","",IFERROR(F75/E75,0))</f>
        <v>0.5</v>
      </c>
      <c r="H75" s="17">
        <f>IF(D75="","",VLOOKUP(C75,WORKSHEET!$O$4:$AM$74,16,FALSE))</f>
        <v>1</v>
      </c>
      <c r="I75" s="19">
        <f t="shared" ref="I75:I77" si="89">IF(D75="","",IFERROR(H75/E75,0))</f>
        <v>0.5</v>
      </c>
      <c r="J75" s="18">
        <f>IF(D75="","",VLOOKUP(C75,WORKSHEET!$O$4:$AM$74,18,FALSE))</f>
        <v>1</v>
      </c>
      <c r="K75" s="17">
        <f>IF(D75="","",VLOOKUP(C75,WORKSHEET!$O$4:$AM$74,19,FALSE))</f>
        <v>0</v>
      </c>
      <c r="L75" s="17">
        <f>IF(D75="","",VLOOKUP(C75,WORKSHEET!$O$4:$AM$74,20,FALSE))</f>
        <v>0</v>
      </c>
      <c r="M75" s="17">
        <f t="shared" ref="M75:M77" si="90">IF(D75="","",SUM(J75:L75))</f>
        <v>1</v>
      </c>
      <c r="N75" s="20">
        <f t="shared" ref="N75:N77" si="91">IF(D75="","",IFERROR(SUM(J75:L75)/E75,0))</f>
        <v>0.5</v>
      </c>
      <c r="O75" s="21">
        <f>IF(D75="","",VLOOKUP(C75,WORKSHEET!$O$4:$AM$74,22,FALSE)+VLOOKUP(C75,WORKSHEET!$O$4:$AM$74,23,FALSE)+VLOOKUP(C75,WORKSHEET!$O$4:$AM$74,24,FALSE))</f>
        <v>0</v>
      </c>
      <c r="P75" s="20">
        <f t="shared" ref="P75:P77" si="92">IF(D75="","",IFERROR(O75/E75,0))</f>
        <v>0</v>
      </c>
      <c r="Q75" s="99">
        <v>0.52</v>
      </c>
    </row>
    <row r="76" spans="2:17" ht="15.5" x14ac:dyDescent="0.35">
      <c r="B76" s="4">
        <v>2</v>
      </c>
      <c r="C76" s="6" t="str">
        <f>C74&amp;"-"&amp;B76</f>
        <v>MINI-2</v>
      </c>
      <c r="D76" s="16" t="str">
        <f>IFERROR(VLOOKUP(C76,WORKSHEET!$O$4:$AM$74,8,FALSE),"")</f>
        <v>MINI of Tempe</v>
      </c>
      <c r="E76" s="17">
        <f>IF(D76="","",VLOOKUP(C76,WORKSHEET!$O$4:$AM$74,9,FALSE))</f>
        <v>2</v>
      </c>
      <c r="F76" s="18">
        <f>IF(D76="","",VLOOKUP(C76,WORKSHEET!$O$4:$AM$74,10,FALSE))</f>
        <v>1</v>
      </c>
      <c r="G76" s="27">
        <f t="shared" si="88"/>
        <v>0.5</v>
      </c>
      <c r="H76" s="17">
        <f>IF(D76="","",VLOOKUP(C76,WORKSHEET!$O$4:$AM$74,16,FALSE))</f>
        <v>1</v>
      </c>
      <c r="I76" s="19">
        <f t="shared" si="89"/>
        <v>0.5</v>
      </c>
      <c r="J76" s="18">
        <f>IF(D76="","",VLOOKUP(C76,WORKSHEET!$O$4:$AM$74,18,FALSE))</f>
        <v>0</v>
      </c>
      <c r="K76" s="17">
        <f>IF(D76="","",VLOOKUP(C76,WORKSHEET!$O$4:$AM$74,19,FALSE))</f>
        <v>0</v>
      </c>
      <c r="L76" s="17">
        <f>IF(D76="","",VLOOKUP(C76,WORKSHEET!$O$4:$AM$74,20,FALSE))</f>
        <v>0</v>
      </c>
      <c r="M76" s="17">
        <f t="shared" si="90"/>
        <v>0</v>
      </c>
      <c r="N76" s="20">
        <f t="shared" si="91"/>
        <v>0</v>
      </c>
      <c r="O76" s="21">
        <f>IF(D76="","",VLOOKUP(C76,WORKSHEET!$O$4:$AM$74,22,FALSE)+VLOOKUP(C76,WORKSHEET!$O$4:$AM$74,23,FALSE)+VLOOKUP(C76,WORKSHEET!$O$4:$AM$74,24,FALSE))</f>
        <v>1</v>
      </c>
      <c r="P76" s="20">
        <f t="shared" si="92"/>
        <v>0.5</v>
      </c>
      <c r="Q76" s="99"/>
    </row>
    <row r="77" spans="2:17" ht="15.5" x14ac:dyDescent="0.35">
      <c r="B77" s="4">
        <v>3</v>
      </c>
      <c r="C77" s="6" t="str">
        <f>C74&amp;"-"&amp;B77</f>
        <v>MINI-3</v>
      </c>
      <c r="D77" s="16" t="str">
        <f>IFERROR(VLOOKUP(C77,WORKSHEET!$O$4:$AM$74,8,FALSE),"")</f>
        <v>MINI of San Diego</v>
      </c>
      <c r="E77" s="17">
        <f>IF(D77="","",VLOOKUP(C77,WORKSHEET!$O$4:$AM$74,9,FALSE))</f>
        <v>10</v>
      </c>
      <c r="F77" s="18">
        <f>IF(D77="","",VLOOKUP(C77,WORKSHEET!$O$4:$AM$74,10,FALSE))</f>
        <v>4</v>
      </c>
      <c r="G77" s="27">
        <f t="shared" si="88"/>
        <v>0.4</v>
      </c>
      <c r="H77" s="17">
        <f>IF(D77="","",VLOOKUP(C77,WORKSHEET!$O$4:$AM$74,16,FALSE))</f>
        <v>5</v>
      </c>
      <c r="I77" s="19">
        <f t="shared" si="89"/>
        <v>0.5</v>
      </c>
      <c r="J77" s="18">
        <f>IF(D77="","",VLOOKUP(C77,WORKSHEET!$O$4:$AM$74,18,FALSE))</f>
        <v>2</v>
      </c>
      <c r="K77" s="17">
        <f>IF(D77="","",VLOOKUP(C77,WORKSHEET!$O$4:$AM$74,19,FALSE))</f>
        <v>0</v>
      </c>
      <c r="L77" s="17">
        <f>IF(D77="","",VLOOKUP(C77,WORKSHEET!$O$4:$AM$74,20,FALSE))</f>
        <v>0</v>
      </c>
      <c r="M77" s="17">
        <f t="shared" si="90"/>
        <v>2</v>
      </c>
      <c r="N77" s="20">
        <f t="shared" si="91"/>
        <v>0.2</v>
      </c>
      <c r="O77" s="21">
        <f>IF(D77="","",VLOOKUP(C77,WORKSHEET!$O$4:$AM$74,22,FALSE)+VLOOKUP(C77,WORKSHEET!$O$4:$AM$74,23,FALSE)+VLOOKUP(C77,WORKSHEET!$O$4:$AM$74,24,FALSE))</f>
        <v>3</v>
      </c>
      <c r="P77" s="20">
        <f t="shared" si="92"/>
        <v>0.3</v>
      </c>
      <c r="Q77" s="99"/>
    </row>
    <row r="78" spans="2:17" ht="15.5" x14ac:dyDescent="0.35">
      <c r="B78" s="4">
        <v>4</v>
      </c>
      <c r="C78" s="6" t="str">
        <f>C74&amp;"-"&amp;B78</f>
        <v>MINI-4</v>
      </c>
      <c r="D78" s="16" t="str">
        <f>IFERROR(VLOOKUP(C78,WORKSHEET!$O$4:$AM$74,8,FALSE),"")</f>
        <v>MINI of Marin</v>
      </c>
      <c r="E78" s="17">
        <f>IF(D78="","",VLOOKUP(C78,WORKSHEET!$O$4:$AM$74,9,FALSE))</f>
        <v>10</v>
      </c>
      <c r="F78" s="18">
        <f>IF(D78="","",VLOOKUP(C78,WORKSHEET!$O$4:$AM$74,10,FALSE))</f>
        <v>3</v>
      </c>
      <c r="G78" s="27">
        <f t="shared" ref="G78:G82" si="93">IF(D78="","",IFERROR(F78/E78,0))</f>
        <v>0.3</v>
      </c>
      <c r="H78" s="17">
        <f>IF(D78="","",VLOOKUP(C78,WORKSHEET!$O$4:$AM$74,16,FALSE))</f>
        <v>5</v>
      </c>
      <c r="I78" s="19">
        <f t="shared" ref="I78:I82" si="94">IF(D78="","",IFERROR(H78/E78,0))</f>
        <v>0.5</v>
      </c>
      <c r="J78" s="18">
        <f>IF(D78="","",VLOOKUP(C78,WORKSHEET!$O$4:$AM$74,18,FALSE))</f>
        <v>3</v>
      </c>
      <c r="K78" s="17">
        <f>IF(D78="","",VLOOKUP(C78,WORKSHEET!$O$4:$AM$74,19,FALSE))</f>
        <v>0</v>
      </c>
      <c r="L78" s="17">
        <f>IF(D78="","",VLOOKUP(C78,WORKSHEET!$O$4:$AM$74,20,FALSE))</f>
        <v>0</v>
      </c>
      <c r="M78" s="17">
        <f t="shared" ref="M78:M82" si="95">IF(D78="","",SUM(J78:L78))</f>
        <v>3</v>
      </c>
      <c r="N78" s="20">
        <f t="shared" ref="N78:N82" si="96">IF(D78="","",IFERROR(SUM(J78:L78)/E78,0))</f>
        <v>0.3</v>
      </c>
      <c r="O78" s="21">
        <f>IF(D78="","",VLOOKUP(C78,WORKSHEET!$O$4:$AM$74,22,FALSE)+VLOOKUP(C78,WORKSHEET!$O$4:$AM$74,23,FALSE)+VLOOKUP(C78,WORKSHEET!$O$4:$AM$74,24,FALSE))</f>
        <v>2</v>
      </c>
      <c r="P78" s="20">
        <f t="shared" ref="P78:P82" si="97">IF(D78="","",IFERROR(O78/E78,0))</f>
        <v>0.2</v>
      </c>
      <c r="Q78" s="99"/>
    </row>
    <row r="79" spans="2:17" ht="15.5" x14ac:dyDescent="0.35">
      <c r="B79" s="4">
        <v>5</v>
      </c>
      <c r="C79" s="6" t="str">
        <f>C74&amp;"-"&amp;B79</f>
        <v>MINI-5</v>
      </c>
      <c r="D79" s="16" t="str">
        <f>IFERROR(VLOOKUP(C79,WORKSHEET!$O$4:$AM$74,8,FALSE),"")</f>
        <v>MINI of Austin</v>
      </c>
      <c r="E79" s="17">
        <f>IF(D79="","",VLOOKUP(C79,WORKSHEET!$O$4:$AM$74,9,FALSE))</f>
        <v>7</v>
      </c>
      <c r="F79" s="18">
        <f>IF(D79="","",VLOOKUP(C79,WORKSHEET!$O$4:$AM$74,10,FALSE))</f>
        <v>2</v>
      </c>
      <c r="G79" s="27">
        <f t="shared" si="93"/>
        <v>0.2857142857142857</v>
      </c>
      <c r="H79" s="17">
        <f>IF(D79="","",VLOOKUP(C79,WORKSHEET!$O$4:$AM$74,16,FALSE))</f>
        <v>5</v>
      </c>
      <c r="I79" s="19">
        <f t="shared" si="94"/>
        <v>0.7142857142857143</v>
      </c>
      <c r="J79" s="18">
        <f>IF(D79="","",VLOOKUP(C79,WORKSHEET!$O$4:$AM$74,18,FALSE))</f>
        <v>0</v>
      </c>
      <c r="K79" s="17">
        <f>IF(D79="","",VLOOKUP(C79,WORKSHEET!$O$4:$AM$74,19,FALSE))</f>
        <v>0</v>
      </c>
      <c r="L79" s="17">
        <f>IF(D79="","",VLOOKUP(C79,WORKSHEET!$O$4:$AM$74,20,FALSE))</f>
        <v>0</v>
      </c>
      <c r="M79" s="17">
        <f t="shared" si="95"/>
        <v>0</v>
      </c>
      <c r="N79" s="20">
        <f t="shared" si="96"/>
        <v>0</v>
      </c>
      <c r="O79" s="21">
        <f>IF(D79="","",VLOOKUP(C79,WORKSHEET!$O$4:$AM$74,22,FALSE)+VLOOKUP(C79,WORKSHEET!$O$4:$AM$74,23,FALSE)+VLOOKUP(C79,WORKSHEET!$O$4:$AM$74,24,FALSE))</f>
        <v>2</v>
      </c>
      <c r="P79" s="20">
        <f t="shared" si="97"/>
        <v>0.2857142857142857</v>
      </c>
      <c r="Q79" s="99"/>
    </row>
    <row r="80" spans="2:17" ht="15.5" x14ac:dyDescent="0.35">
      <c r="B80" s="4">
        <v>6</v>
      </c>
      <c r="C80" s="6" t="str">
        <f>C74&amp;"-"&amp;B80</f>
        <v>MINI-6</v>
      </c>
      <c r="D80" s="16" t="str">
        <f>IFERROR(VLOOKUP(C80,WORKSHEET!$O$4:$AM$74,8,FALSE),"")</f>
        <v>Crevier MINI</v>
      </c>
      <c r="E80" s="17">
        <f>IF(D80="","",VLOOKUP(C80,WORKSHEET!$O$4:$AM$74,9,FALSE))</f>
        <v>11</v>
      </c>
      <c r="F80" s="18">
        <f>IF(D80="","",VLOOKUP(C80,WORKSHEET!$O$4:$AM$74,10,FALSE))</f>
        <v>2</v>
      </c>
      <c r="G80" s="27">
        <f t="shared" si="93"/>
        <v>0.18181818181818182</v>
      </c>
      <c r="H80" s="17">
        <f>IF(D80="","",VLOOKUP(C80,WORKSHEET!$O$4:$AM$74,16,FALSE))</f>
        <v>4</v>
      </c>
      <c r="I80" s="19">
        <f t="shared" si="94"/>
        <v>0.36363636363636365</v>
      </c>
      <c r="J80" s="18">
        <f>IF(D80="","",VLOOKUP(C80,WORKSHEET!$O$4:$AM$74,18,FALSE))</f>
        <v>0</v>
      </c>
      <c r="K80" s="17">
        <f>IF(D80="","",VLOOKUP(C80,WORKSHEET!$O$4:$AM$74,19,FALSE))</f>
        <v>0</v>
      </c>
      <c r="L80" s="17">
        <f>IF(D80="","",VLOOKUP(C80,WORKSHEET!$O$4:$AM$74,20,FALSE))</f>
        <v>0</v>
      </c>
      <c r="M80" s="17">
        <f t="shared" si="95"/>
        <v>0</v>
      </c>
      <c r="N80" s="20">
        <f t="shared" si="96"/>
        <v>0</v>
      </c>
      <c r="O80" s="21">
        <f>IF(D80="","",VLOOKUP(C80,WORKSHEET!$O$4:$AM$74,22,FALSE)+VLOOKUP(C80,WORKSHEET!$O$4:$AM$74,23,FALSE)+VLOOKUP(C80,WORKSHEET!$O$4:$AM$74,24,FALSE))</f>
        <v>7</v>
      </c>
      <c r="P80" s="20">
        <f t="shared" si="97"/>
        <v>0.63636363636363635</v>
      </c>
      <c r="Q80" s="99"/>
    </row>
    <row r="81" spans="2:17" ht="15.5" x14ac:dyDescent="0.35">
      <c r="B81" s="4">
        <v>7</v>
      </c>
      <c r="C81" s="6" t="str">
        <f>C74&amp;"-"&amp;B81</f>
        <v>MINI-7</v>
      </c>
      <c r="D81" s="16" t="str">
        <f>IFERROR(VLOOKUP(C81,WORKSHEET!$O$4:$AM$74,8,FALSE),"")</f>
        <v>Motorwerks MINI</v>
      </c>
      <c r="E81" s="17">
        <f>IF(D81="","",VLOOKUP(C81,WORKSHEET!$O$4:$AM$74,9,FALSE))</f>
        <v>1</v>
      </c>
      <c r="F81" s="18">
        <f>IF(D81="","",VLOOKUP(C81,WORKSHEET!$O$4:$AM$74,10,FALSE))</f>
        <v>0</v>
      </c>
      <c r="G81" s="27">
        <f t="shared" si="93"/>
        <v>0</v>
      </c>
      <c r="H81" s="17">
        <f>IF(D81="","",VLOOKUP(C81,WORKSHEET!$O$4:$AM$74,16,FALSE))</f>
        <v>0</v>
      </c>
      <c r="I81" s="19">
        <f t="shared" si="94"/>
        <v>0</v>
      </c>
      <c r="J81" s="18">
        <f>IF(D81="","",VLOOKUP(C81,WORKSHEET!$O$4:$AM$74,18,FALSE))</f>
        <v>0</v>
      </c>
      <c r="K81" s="17">
        <f>IF(D81="","",VLOOKUP(C81,WORKSHEET!$O$4:$AM$74,19,FALSE))</f>
        <v>0</v>
      </c>
      <c r="L81" s="17">
        <f>IF(D81="","",VLOOKUP(C81,WORKSHEET!$O$4:$AM$74,20,FALSE))</f>
        <v>1</v>
      </c>
      <c r="M81" s="17">
        <f t="shared" si="95"/>
        <v>1</v>
      </c>
      <c r="N81" s="20">
        <f t="shared" si="96"/>
        <v>1</v>
      </c>
      <c r="O81" s="21">
        <f>IF(D81="","",VLOOKUP(C81,WORKSHEET!$O$4:$AM$74,22,FALSE)+VLOOKUP(C81,WORKSHEET!$O$4:$AM$74,23,FALSE)+VLOOKUP(C81,WORKSHEET!$O$4:$AM$74,24,FALSE))</f>
        <v>0</v>
      </c>
      <c r="P81" s="20">
        <f t="shared" si="97"/>
        <v>0</v>
      </c>
      <c r="Q81" s="99"/>
    </row>
    <row r="82" spans="2:17" ht="15.5" hidden="1" x14ac:dyDescent="0.35">
      <c r="B82" s="4">
        <v>8</v>
      </c>
      <c r="C82" s="6" t="str">
        <f>C74&amp;"-"&amp;B82</f>
        <v>MINI-8</v>
      </c>
      <c r="D82" s="16" t="str">
        <f>IFERROR(VLOOKUP(C82,WORKSHEET!$O$4:$AM$74,8,FALSE),"")</f>
        <v/>
      </c>
      <c r="E82" s="17" t="str">
        <f>IF(D82="","",VLOOKUP(C82,WORKSHEET!$O$4:$AM$74,9,FALSE))</f>
        <v/>
      </c>
      <c r="F82" s="18" t="str">
        <f>IF(D82="","",VLOOKUP(C82,WORKSHEET!$O$4:$AM$74,10,FALSE))</f>
        <v/>
      </c>
      <c r="G82" s="27" t="str">
        <f t="shared" si="93"/>
        <v/>
      </c>
      <c r="H82" s="17" t="str">
        <f>IF(D82="","",VLOOKUP(C82,WORKSHEET!$O$4:$AM$74,16,FALSE))</f>
        <v/>
      </c>
      <c r="I82" s="19" t="str">
        <f t="shared" si="94"/>
        <v/>
      </c>
      <c r="J82" s="18" t="str">
        <f>IF(D82="","",VLOOKUP(C82,WORKSHEET!$O$4:$AM$74,18,FALSE))</f>
        <v/>
      </c>
      <c r="K82" s="17" t="str">
        <f>IF(D82="","",VLOOKUP(C82,WORKSHEET!$O$4:$AM$74,19,FALSE))</f>
        <v/>
      </c>
      <c r="L82" s="17" t="str">
        <f>IF(D82="","",VLOOKUP(C82,WORKSHEET!$O$4:$AM$74,20,FALSE))</f>
        <v/>
      </c>
      <c r="M82" s="17" t="str">
        <f t="shared" si="95"/>
        <v/>
      </c>
      <c r="N82" s="20" t="str">
        <f t="shared" si="96"/>
        <v/>
      </c>
      <c r="O82" s="21" t="str">
        <f>IF(D82="","",VLOOKUP(C82,WORKSHEET!$O$4:$AM$74,22,FALSE)+VLOOKUP(C82,WORKSHEET!$O$4:$AM$74,23,FALSE)+VLOOKUP(C82,WORKSHEET!$O$4:$AM$74,24,FALSE))</f>
        <v/>
      </c>
      <c r="P82" s="20" t="str">
        <f t="shared" si="97"/>
        <v/>
      </c>
      <c r="Q82" s="99"/>
    </row>
    <row r="83" spans="2:17" s="6" customFormat="1" ht="15.5" x14ac:dyDescent="0.35">
      <c r="D83" s="28" t="s">
        <v>102</v>
      </c>
      <c r="E83" s="29">
        <f>SUM(E75:E82)</f>
        <v>43</v>
      </c>
      <c r="F83" s="30">
        <f>SUM(F75:F82)</f>
        <v>13</v>
      </c>
      <c r="G83" s="27">
        <f>IFERROR(F83/E83,0)</f>
        <v>0.30232558139534882</v>
      </c>
      <c r="H83" s="30">
        <f>SUM(H75:H82)</f>
        <v>21</v>
      </c>
      <c r="I83" s="19">
        <f>IFERROR(H83/E83,0)</f>
        <v>0.48837209302325579</v>
      </c>
      <c r="J83" s="30">
        <f>SUM(J75:J82)</f>
        <v>6</v>
      </c>
      <c r="K83" s="30">
        <f>SUM(K75:K82)</f>
        <v>0</v>
      </c>
      <c r="L83" s="30">
        <f>SUM(L75:L82)</f>
        <v>1</v>
      </c>
      <c r="M83" s="30">
        <f t="shared" ref="M83" si="98">SUM(J83:L83)</f>
        <v>7</v>
      </c>
      <c r="N83" s="31">
        <f>IFERROR(SUM(J83:L83)/E83,0)</f>
        <v>0.16279069767441862</v>
      </c>
      <c r="O83" s="30">
        <f>SUM(O75:O82)</f>
        <v>15</v>
      </c>
      <c r="P83" s="31">
        <f>IFERROR(O83/E83,0)</f>
        <v>0.34883720930232559</v>
      </c>
      <c r="Q83" s="99"/>
    </row>
    <row r="84" spans="2:17" x14ac:dyDescent="0.3">
      <c r="C84" s="6" t="s">
        <v>116</v>
      </c>
      <c r="D84" s="101" t="str">
        <f>C84</f>
        <v>Porsche</v>
      </c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25"/>
    </row>
    <row r="85" spans="2:17" ht="15.5" x14ac:dyDescent="0.35">
      <c r="B85" s="4">
        <v>1</v>
      </c>
      <c r="C85" s="6" t="str">
        <f>C84&amp;"-"&amp;B85</f>
        <v>Porsche-1</v>
      </c>
      <c r="D85" s="16" t="str">
        <f>IFERROR(VLOOKUP(C85,WORKSHEET!$O$4:$AM$74,8,FALSE),"")</f>
        <v>Porsche North Scottsdale</v>
      </c>
      <c r="E85" s="17">
        <f>IF(D85="","",VLOOKUP(C85,WORKSHEET!$O$4:$AM$74,9,FALSE))</f>
        <v>4</v>
      </c>
      <c r="F85" s="18">
        <f>IF(D85="","",VLOOKUP(C85,WORKSHEET!$O$4:$AM$74,10,FALSE))</f>
        <v>2</v>
      </c>
      <c r="G85" s="27">
        <f t="shared" ref="G85:G86" si="99">IF(D85="","",IFERROR(F85/E85,0))</f>
        <v>0.5</v>
      </c>
      <c r="H85" s="17">
        <f>IF(D85="","",VLOOKUP(C85,WORKSHEET!$O$4:$AM$74,16,FALSE))</f>
        <v>3</v>
      </c>
      <c r="I85" s="19">
        <f t="shared" ref="I85:I86" si="100">IF(D85="","",IFERROR(H85/E85,0))</f>
        <v>0.75</v>
      </c>
      <c r="J85" s="18">
        <f>IF(D85="","",VLOOKUP(C85,WORKSHEET!$O$4:$AM$74,18,FALSE))</f>
        <v>0</v>
      </c>
      <c r="K85" s="17">
        <f>IF(D85="","",VLOOKUP(C85,WORKSHEET!$O$4:$AM$74,19,FALSE))</f>
        <v>0</v>
      </c>
      <c r="L85" s="17">
        <f>IF(D85="","",VLOOKUP(C85,WORKSHEET!$O$4:$AM$74,20,FALSE))</f>
        <v>0</v>
      </c>
      <c r="M85" s="17">
        <f t="shared" ref="M85:M86" si="101">IF(D85="","",SUM(J85:L85))</f>
        <v>0</v>
      </c>
      <c r="N85" s="20">
        <f t="shared" ref="N85:N86" si="102">IF(D85="","",IFERROR(SUM(J85:L85)/E85,0))</f>
        <v>0</v>
      </c>
      <c r="O85" s="21">
        <f>IF(D85="","",VLOOKUP(C85,WORKSHEET!$O$4:$AM$74,22,FALSE)+VLOOKUP(C85,WORKSHEET!$O$4:$AM$74,23,FALSE)+VLOOKUP(C85,WORKSHEET!$O$4:$AM$74,24,FALSE))</f>
        <v>1</v>
      </c>
      <c r="P85" s="20">
        <f t="shared" ref="P85:P86" si="103">IF(D85="","",IFERROR(O85/E85,0))</f>
        <v>0.25</v>
      </c>
      <c r="Q85" s="99">
        <v>0.6</v>
      </c>
    </row>
    <row r="86" spans="2:17" ht="15.5" x14ac:dyDescent="0.35">
      <c r="B86" s="4">
        <v>2</v>
      </c>
      <c r="C86" s="6" t="str">
        <f>C84&amp;"-"&amp;B86</f>
        <v>Porsche-2</v>
      </c>
      <c r="D86" s="16" t="str">
        <f>IFERROR(VLOOKUP(C86,WORKSHEET!$O$4:$AM$74,8,FALSE),"")</f>
        <v>Porsche Stevens Creek</v>
      </c>
      <c r="E86" s="17">
        <f>IF(D86="","",VLOOKUP(C86,WORKSHEET!$O$4:$AM$74,9,FALSE))</f>
        <v>9</v>
      </c>
      <c r="F86" s="18">
        <f>IF(D86="","",VLOOKUP(C86,WORKSHEET!$O$4:$AM$74,10,FALSE))</f>
        <v>1</v>
      </c>
      <c r="G86" s="27">
        <f t="shared" si="99"/>
        <v>0.1111111111111111</v>
      </c>
      <c r="H86" s="17">
        <f>IF(D86="","",VLOOKUP(C86,WORKSHEET!$O$4:$AM$74,16,FALSE))</f>
        <v>6</v>
      </c>
      <c r="I86" s="19">
        <f t="shared" si="100"/>
        <v>0.66666666666666663</v>
      </c>
      <c r="J86" s="18">
        <f>IF(D86="","",VLOOKUP(C86,WORKSHEET!$O$4:$AM$74,18,FALSE))</f>
        <v>0</v>
      </c>
      <c r="K86" s="17">
        <f>IF(D86="","",VLOOKUP(C86,WORKSHEET!$O$4:$AM$74,19,FALSE))</f>
        <v>0</v>
      </c>
      <c r="L86" s="17">
        <f>IF(D86="","",VLOOKUP(C86,WORKSHEET!$O$4:$AM$74,20,FALSE))</f>
        <v>0</v>
      </c>
      <c r="M86" s="17">
        <f t="shared" si="101"/>
        <v>0</v>
      </c>
      <c r="N86" s="20">
        <f t="shared" si="102"/>
        <v>0</v>
      </c>
      <c r="O86" s="21">
        <f>IF(D86="","",VLOOKUP(C86,WORKSHEET!$O$4:$AM$74,22,FALSE)+VLOOKUP(C86,WORKSHEET!$O$4:$AM$74,23,FALSE)+VLOOKUP(C86,WORKSHEET!$O$4:$AM$74,24,FALSE))</f>
        <v>3</v>
      </c>
      <c r="P86" s="20">
        <f t="shared" si="103"/>
        <v>0.33333333333333331</v>
      </c>
      <c r="Q86" s="99"/>
    </row>
    <row r="87" spans="2:17" s="6" customFormat="1" ht="15.5" x14ac:dyDescent="0.35">
      <c r="D87" s="28" t="s">
        <v>102</v>
      </c>
      <c r="E87" s="29">
        <f>SUM(E85:E86)</f>
        <v>13</v>
      </c>
      <c r="F87" s="30">
        <f>SUM(F85:F86)</f>
        <v>3</v>
      </c>
      <c r="G87" s="27">
        <f>IFERROR(F87/E87,0)</f>
        <v>0.23076923076923078</v>
      </c>
      <c r="H87" s="30">
        <f>SUM(H85:H86)</f>
        <v>9</v>
      </c>
      <c r="I87" s="19">
        <f>IFERROR(H87/E87,0)</f>
        <v>0.69230769230769229</v>
      </c>
      <c r="J87" s="30">
        <f t="shared" ref="J87" si="104">SUM(J85:J86)</f>
        <v>0</v>
      </c>
      <c r="K87" s="30">
        <f t="shared" ref="K87" si="105">SUM(K85:K86)</f>
        <v>0</v>
      </c>
      <c r="L87" s="30">
        <f t="shared" ref="L87" si="106">SUM(L85:L86)</f>
        <v>0</v>
      </c>
      <c r="M87" s="30">
        <f t="shared" ref="M87" si="107">SUM(J87:L87)</f>
        <v>0</v>
      </c>
      <c r="N87" s="31">
        <f>IFERROR(SUM(J87:L87)/E87,0)</f>
        <v>0</v>
      </c>
      <c r="O87" s="30">
        <f>SUM(O85:O86)</f>
        <v>4</v>
      </c>
      <c r="P87" s="31">
        <f>IFERROR(O87/E87,0)</f>
        <v>0.30769230769230771</v>
      </c>
      <c r="Q87" s="99"/>
    </row>
    <row r="88" spans="2:17" x14ac:dyDescent="0.3">
      <c r="C88" s="6" t="s">
        <v>117</v>
      </c>
      <c r="D88" s="101" t="str">
        <f>C88</f>
        <v>Subaru</v>
      </c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25"/>
    </row>
    <row r="89" spans="2:17" ht="15" customHeight="1" x14ac:dyDescent="0.35">
      <c r="B89" s="4">
        <v>1</v>
      </c>
      <c r="C89" s="6" t="str">
        <f>C88&amp;"-"&amp;B89</f>
        <v>Subaru-1</v>
      </c>
      <c r="D89" s="16" t="str">
        <f>IFERROR(VLOOKUP(C89,WORKSHEET!$O$4:$AM$74,8,FALSE),"")</f>
        <v>Subaru Orange Coast</v>
      </c>
      <c r="E89" s="17">
        <f>IF(D89="","",VLOOKUP(C89,WORKSHEET!$O$4:$AM$74,9,FALSE))</f>
        <v>16</v>
      </c>
      <c r="F89" s="18">
        <f>IF(D89="","",VLOOKUP(C89,WORKSHEET!$O$4:$AM$74,10,FALSE))</f>
        <v>3</v>
      </c>
      <c r="G89" s="27">
        <f>IF(D89="","",IFERROR(F89/E89,0))</f>
        <v>0.1875</v>
      </c>
      <c r="H89" s="17">
        <f>IF(D89="","",VLOOKUP(C89,WORKSHEET!$O$4:$AM$74,16,FALSE))</f>
        <v>12</v>
      </c>
      <c r="I89" s="19">
        <f>IF(D89="","",IFERROR(H89/E89,0))</f>
        <v>0.75</v>
      </c>
      <c r="J89" s="18">
        <f>IF(D89="","",VLOOKUP(C89,WORKSHEET!$O$4:$AM$74,18,FALSE))</f>
        <v>0</v>
      </c>
      <c r="K89" s="17">
        <f>IF(D89="","",VLOOKUP(C89,WORKSHEET!$O$4:$AM$74,19,FALSE))</f>
        <v>2</v>
      </c>
      <c r="L89" s="17">
        <f>IF(D89="","",VLOOKUP(C89,WORKSHEET!$O$4:$AM$74,20,FALSE))</f>
        <v>0</v>
      </c>
      <c r="M89" s="17">
        <f>IF(D89="","",SUM(J89:L89))</f>
        <v>2</v>
      </c>
      <c r="N89" s="20">
        <f>IF(D89="","",IFERROR(SUM(J89:L89)/E89,0))</f>
        <v>0.125</v>
      </c>
      <c r="O89" s="21">
        <f>IF(D89="","",VLOOKUP(C89,WORKSHEET!$O$4:$AM$74,22,FALSE)+VLOOKUP(C89,WORKSHEET!$O$4:$AM$74,23,FALSE)+VLOOKUP(C89,WORKSHEET!$O$4:$AM$74,24,FALSE))</f>
        <v>2</v>
      </c>
      <c r="P89" s="20">
        <f>IF(D89="","",IFERROR(O89/E89,0))</f>
        <v>0.125</v>
      </c>
      <c r="Q89" s="99">
        <v>0.52</v>
      </c>
    </row>
    <row r="90" spans="2:17" s="6" customFormat="1" ht="15" customHeight="1" x14ac:dyDescent="0.35">
      <c r="D90" s="28" t="s">
        <v>102</v>
      </c>
      <c r="E90" s="29">
        <f>SUM(E89)</f>
        <v>16</v>
      </c>
      <c r="F90" s="30">
        <f>SUM(F89)</f>
        <v>3</v>
      </c>
      <c r="G90" s="27">
        <f>IFERROR(F90/E90,0)</f>
        <v>0.1875</v>
      </c>
      <c r="H90" s="30">
        <f>SUM(H89)</f>
        <v>12</v>
      </c>
      <c r="I90" s="19">
        <f>IFERROR(H90/E90,0)</f>
        <v>0.75</v>
      </c>
      <c r="J90" s="30">
        <f t="shared" ref="J90" si="108">SUM(J89)</f>
        <v>0</v>
      </c>
      <c r="K90" s="30">
        <f t="shared" ref="K90" si="109">SUM(K89)</f>
        <v>2</v>
      </c>
      <c r="L90" s="30">
        <f t="shared" ref="L90" si="110">SUM(L89)</f>
        <v>0</v>
      </c>
      <c r="M90" s="30">
        <f t="shared" ref="M90" si="111">SUM(J90:L90)</f>
        <v>2</v>
      </c>
      <c r="N90" s="31">
        <f>IFERROR(SUM(J90:L90)/E90,0)</f>
        <v>0.125</v>
      </c>
      <c r="O90" s="30">
        <f>SUM(O89)</f>
        <v>2</v>
      </c>
      <c r="P90" s="31">
        <f>IFERROR(O90/E90,0)</f>
        <v>0.125</v>
      </c>
      <c r="Q90" s="99"/>
    </row>
    <row r="91" spans="2:17" x14ac:dyDescent="0.3">
      <c r="C91" s="6" t="s">
        <v>118</v>
      </c>
      <c r="D91" s="101" t="str">
        <f>C91</f>
        <v>Ultra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25"/>
    </row>
    <row r="92" spans="2:17" ht="15.5" x14ac:dyDescent="0.35">
      <c r="B92" s="4">
        <v>1</v>
      </c>
      <c r="C92" s="6" t="str">
        <f>C91&amp;"-"&amp;B92</f>
        <v>Ultra-1</v>
      </c>
      <c r="D92" s="16" t="str">
        <f>IFERROR(VLOOKUP(C92,WORKSHEET!$O$4:$AM$74,8,FALSE),"")</f>
        <v>Bentley Scottsdale</v>
      </c>
      <c r="E92" s="17">
        <f>IF(D92="","",VLOOKUP(C92,WORKSHEET!$O$4:$AM$74,9,FALSE))</f>
        <v>1</v>
      </c>
      <c r="F92" s="18">
        <f>IF(D92="","",VLOOKUP(C92,WORKSHEET!$O$4:$AM$74,10,FALSE))</f>
        <v>0</v>
      </c>
      <c r="G92" s="27">
        <f>IF(D92="","",IFERROR(F92/E92,0))</f>
        <v>0</v>
      </c>
      <c r="H92" s="17">
        <f>IF(D92="","",VLOOKUP(C92,WORKSHEET!$O$4:$AM$74,16,FALSE))</f>
        <v>0</v>
      </c>
      <c r="I92" s="19">
        <f>IF(D92="","",IFERROR(H92/E92,0))</f>
        <v>0</v>
      </c>
      <c r="J92" s="18">
        <f>IF(D92="","",VLOOKUP(C92,WORKSHEET!$O$4:$AM$74,18,FALSE))</f>
        <v>1</v>
      </c>
      <c r="K92" s="17">
        <f>IF(D92="","",VLOOKUP(C92,WORKSHEET!$O$4:$AM$74,19,FALSE))</f>
        <v>0</v>
      </c>
      <c r="L92" s="17">
        <f>IF(D92="","",VLOOKUP(C92,WORKSHEET!$O$4:$AM$74,20,FALSE))</f>
        <v>0</v>
      </c>
      <c r="M92" s="17">
        <f>IF(D92="","",SUM(J92:L92))</f>
        <v>1</v>
      </c>
      <c r="N92" s="20">
        <f>IF(D92="","",IFERROR(SUM(J92:L92)/E92,0))</f>
        <v>1</v>
      </c>
      <c r="O92" s="21">
        <f>IF(D92="","",VLOOKUP(C92,WORKSHEET!$O$4:$AM$74,22,FALSE)+VLOOKUP(C92,WORKSHEET!$O$4:$AM$74,23,FALSE)+VLOOKUP(C92,WORKSHEET!$O$4:$AM$74,24,FALSE))</f>
        <v>0</v>
      </c>
      <c r="P92" s="20">
        <f>IF(D92="","",IFERROR(O92/E92,0))</f>
        <v>0</v>
      </c>
      <c r="Q92" s="32"/>
    </row>
    <row r="93" spans="2:17" ht="15.5" hidden="1" x14ac:dyDescent="0.35">
      <c r="B93" s="4">
        <v>2</v>
      </c>
      <c r="C93" s="6" t="str">
        <f>C91&amp;"-"&amp;B93</f>
        <v>Ultra-2</v>
      </c>
      <c r="D93" s="16" t="str">
        <f>IFERROR(VLOOKUP(C93,WORKSHEET!$O$4:$AM$74,8,FALSE),"")</f>
        <v/>
      </c>
      <c r="E93" s="17" t="str">
        <f>IF(D93="","",VLOOKUP(C93,WORKSHEET!$O$4:$AM$74,9,FALSE))</f>
        <v/>
      </c>
      <c r="F93" s="18" t="str">
        <f>IF(D93="","",VLOOKUP(C93,WORKSHEET!$O$4:$AM$74,10,FALSE))</f>
        <v/>
      </c>
      <c r="G93" s="27" t="str">
        <f t="shared" ref="G93:G94" si="112">IF(D93="","",IFERROR(F93/E93,0))</f>
        <v/>
      </c>
      <c r="H93" s="17" t="str">
        <f>IF(D93="","",VLOOKUP(C93,WORKSHEET!$O$4:$AM$74,16,FALSE))</f>
        <v/>
      </c>
      <c r="I93" s="19" t="str">
        <f t="shared" ref="I93:I94" si="113">IF(D93="","",IFERROR(H93/E93,0))</f>
        <v/>
      </c>
      <c r="J93" s="18" t="str">
        <f>IF(D93="","",VLOOKUP(C93,WORKSHEET!$O$4:$AM$74,18,FALSE))</f>
        <v/>
      </c>
      <c r="K93" s="17" t="str">
        <f>IF(D93="","",VLOOKUP(C93,WORKSHEET!$O$4:$AM$74,19,FALSE))</f>
        <v/>
      </c>
      <c r="L93" s="17" t="str">
        <f>IF(D93="","",VLOOKUP(C93,WORKSHEET!$O$4:$AM$74,20,FALSE))</f>
        <v/>
      </c>
      <c r="M93" s="17" t="str">
        <f t="shared" ref="M93:M94" si="114">IF(D93="","",SUM(J93:L93))</f>
        <v/>
      </c>
      <c r="N93" s="20" t="str">
        <f t="shared" ref="N93:N94" si="115">IF(D93="","",IFERROR(SUM(J93:L93)/E93,0))</f>
        <v/>
      </c>
      <c r="O93" s="21" t="str">
        <f>IF(D93="","",VLOOKUP(C93,WORKSHEET!$O$4:$AM$74,22,FALSE)+VLOOKUP(C93,WORKSHEET!$O$4:$AM$74,23,FALSE)+VLOOKUP(C93,WORKSHEET!$O$4:$AM$74,24,FALSE))</f>
        <v/>
      </c>
      <c r="P93" s="20" t="str">
        <f t="shared" ref="P93:P94" si="116">IF(D93="","",IFERROR(O93/E93,0))</f>
        <v/>
      </c>
      <c r="Q93" s="32"/>
    </row>
    <row r="94" spans="2:17" ht="15.5" hidden="1" x14ac:dyDescent="0.35">
      <c r="B94" s="4">
        <v>3</v>
      </c>
      <c r="C94" s="6" t="str">
        <f>C91&amp;"-"&amp;B94</f>
        <v>Ultra-3</v>
      </c>
      <c r="D94" s="16" t="str">
        <f>IFERROR(VLOOKUP(C94,WORKSHEET!$O$4:$AM$74,8,FALSE),"")</f>
        <v/>
      </c>
      <c r="E94" s="17" t="str">
        <f>IF(D94="","",VLOOKUP(C94,WORKSHEET!$O$4:$AM$74,9,FALSE))</f>
        <v/>
      </c>
      <c r="F94" s="18" t="str">
        <f>IF(D94="","",VLOOKUP(C94,WORKSHEET!$O$4:$AM$74,10,FALSE))</f>
        <v/>
      </c>
      <c r="G94" s="27" t="str">
        <f t="shared" si="112"/>
        <v/>
      </c>
      <c r="H94" s="17" t="str">
        <f>IF(D94="","",VLOOKUP(C94,WORKSHEET!$O$4:$AM$74,16,FALSE))</f>
        <v/>
      </c>
      <c r="I94" s="19" t="str">
        <f t="shared" si="113"/>
        <v/>
      </c>
      <c r="J94" s="18" t="str">
        <f>IF(D94="","",VLOOKUP(C94,WORKSHEET!$O$4:$AM$74,18,FALSE))</f>
        <v/>
      </c>
      <c r="K94" s="17" t="str">
        <f>IF(D94="","",VLOOKUP(C94,WORKSHEET!$O$4:$AM$74,19,FALSE))</f>
        <v/>
      </c>
      <c r="L94" s="17" t="str">
        <f>IF(D94="","",VLOOKUP(C94,WORKSHEET!$O$4:$AM$74,20,FALSE))</f>
        <v/>
      </c>
      <c r="M94" s="17" t="str">
        <f t="shared" si="114"/>
        <v/>
      </c>
      <c r="N94" s="20" t="str">
        <f t="shared" si="115"/>
        <v/>
      </c>
      <c r="O94" s="21" t="str">
        <f>IF(D94="","",VLOOKUP(C94,WORKSHEET!$O$4:$AM$74,22,FALSE)+VLOOKUP(C94,WORKSHEET!$O$4:$AM$74,23,FALSE)+VLOOKUP(C94,WORKSHEET!$O$4:$AM$74,24,FALSE))</f>
        <v/>
      </c>
      <c r="P94" s="20" t="str">
        <f t="shared" si="116"/>
        <v/>
      </c>
      <c r="Q94" s="32"/>
    </row>
    <row r="95" spans="2:17" s="6" customFormat="1" ht="15.5" x14ac:dyDescent="0.35">
      <c r="D95" s="28" t="s">
        <v>102</v>
      </c>
      <c r="E95" s="29">
        <f>SUM(E92:E94)</f>
        <v>1</v>
      </c>
      <c r="F95" s="30">
        <f>SUM(F92:F94)</f>
        <v>0</v>
      </c>
      <c r="G95" s="27">
        <f>IFERROR(F95/E95,0)</f>
        <v>0</v>
      </c>
      <c r="H95" s="30">
        <f>SUM(H92:H94)</f>
        <v>0</v>
      </c>
      <c r="I95" s="19">
        <f>IFERROR(H95/E95,0)</f>
        <v>0</v>
      </c>
      <c r="J95" s="30">
        <f t="shared" ref="J95" si="117">SUM(J92)</f>
        <v>1</v>
      </c>
      <c r="K95" s="30">
        <f t="shared" ref="K95" si="118">SUM(K92)</f>
        <v>0</v>
      </c>
      <c r="L95" s="30">
        <f t="shared" ref="L95" si="119">SUM(L92)</f>
        <v>0</v>
      </c>
      <c r="M95" s="30">
        <f>SUM(M92:M94)</f>
        <v>1</v>
      </c>
      <c r="N95" s="31">
        <f>IFERROR(SUM(J95:L95)/E95,0)</f>
        <v>1</v>
      </c>
      <c r="O95" s="30">
        <f>SUM(O92:O94)</f>
        <v>0</v>
      </c>
      <c r="P95" s="31">
        <f>IFERROR(O95/E95,0)</f>
        <v>0</v>
      </c>
      <c r="Q95" s="33"/>
    </row>
    <row r="96" spans="2:17" x14ac:dyDescent="0.3">
      <c r="C96" s="6" t="s">
        <v>119</v>
      </c>
      <c r="D96" s="101" t="str">
        <f>C96</f>
        <v>Toyota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25"/>
    </row>
    <row r="97" spans="2:17" ht="15.5" x14ac:dyDescent="0.35">
      <c r="B97" s="4">
        <v>1</v>
      </c>
      <c r="C97" s="6" t="str">
        <f>C96&amp;"-"&amp;B97</f>
        <v>Toyota-1</v>
      </c>
      <c r="D97" s="16" t="str">
        <f>IFERROR(VLOOKUP(C97,WORKSHEET!$O$4:$AM$74,8,FALSE),"")</f>
        <v>Toyota of Surprise</v>
      </c>
      <c r="E97" s="17">
        <f>IF(D97="","",VLOOKUP(C97,WORKSHEET!$O$4:$AM$74,9,FALSE))</f>
        <v>1</v>
      </c>
      <c r="F97" s="18">
        <f>IF(D97="","",VLOOKUP(C97,WORKSHEET!$O$4:$AM$74,10,FALSE))</f>
        <v>1</v>
      </c>
      <c r="G97" s="27">
        <f t="shared" ref="G97" si="120">IF(D97="","",IFERROR(F97/E97,0))</f>
        <v>1</v>
      </c>
      <c r="H97" s="17">
        <f>IF(D97="","",VLOOKUP(C97,WORKSHEET!$O$4:$AM$74,16,FALSE))</f>
        <v>1</v>
      </c>
      <c r="I97" s="19">
        <f t="shared" ref="I97" si="121">IF(D97="","",IFERROR(H97/E97,0))</f>
        <v>1</v>
      </c>
      <c r="J97" s="18">
        <f>IF(D97="","",VLOOKUP(C97,WORKSHEET!$O$4:$AM$74,18,FALSE))</f>
        <v>0</v>
      </c>
      <c r="K97" s="17">
        <f>IF(D97="","",VLOOKUP(C97,WORKSHEET!$O$4:$AM$74,19,FALSE))</f>
        <v>0</v>
      </c>
      <c r="L97" s="17">
        <f>IF(D97="","",VLOOKUP(C97,WORKSHEET!$O$4:$AM$74,20,FALSE))</f>
        <v>0</v>
      </c>
      <c r="M97" s="17">
        <f t="shared" ref="M97" si="122">IF(D97="","",SUM(J97:L97))</f>
        <v>0</v>
      </c>
      <c r="N97" s="20">
        <f t="shared" ref="N97" si="123">IF(D97="","",IFERROR(SUM(J97:L97)/E97,0))</f>
        <v>0</v>
      </c>
      <c r="O97" s="21">
        <f>IF(D97="","",VLOOKUP(C97,WORKSHEET!$O$4:$AM$74,22,FALSE)+VLOOKUP(C97,WORKSHEET!$O$4:$AM$74,23,FALSE)+VLOOKUP(C97,WORKSHEET!$O$4:$AM$74,24,FALSE))</f>
        <v>0</v>
      </c>
      <c r="P97" s="20">
        <f t="shared" ref="P97" si="124">IF(D97="","",IFERROR(O97/E97,0))</f>
        <v>0</v>
      </c>
      <c r="Q97" s="99">
        <v>0.6</v>
      </c>
    </row>
    <row r="98" spans="2:17" ht="15.5" x14ac:dyDescent="0.35">
      <c r="B98" s="4">
        <v>2</v>
      </c>
      <c r="C98" s="6" t="str">
        <f>C96&amp;"-"&amp;B98</f>
        <v>Toyota-2</v>
      </c>
      <c r="D98" s="16" t="str">
        <f>IFERROR(VLOOKUP(C98,WORKSHEET!$O$4:$AM$74,8,FALSE),"")</f>
        <v>Round Rock Toyota</v>
      </c>
      <c r="E98" s="17">
        <f>IF(D98="","",VLOOKUP(C98,WORKSHEET!$O$4:$AM$74,9,FALSE))</f>
        <v>3</v>
      </c>
      <c r="F98" s="18">
        <f>IF(D98="","",VLOOKUP(C98,WORKSHEET!$O$4:$AM$74,10,FALSE))</f>
        <v>1</v>
      </c>
      <c r="G98" s="27">
        <f t="shared" ref="G98:G102" si="125">IF(D98="","",IFERROR(F98/E98,0))</f>
        <v>0.33333333333333331</v>
      </c>
      <c r="H98" s="17">
        <f>IF(D98="","",VLOOKUP(C98,WORKSHEET!$O$4:$AM$74,16,FALSE))</f>
        <v>3</v>
      </c>
      <c r="I98" s="19">
        <f t="shared" ref="I98:I102" si="126">IF(D98="","",IFERROR(H98/E98,0))</f>
        <v>1</v>
      </c>
      <c r="J98" s="18">
        <f>IF(D98="","",VLOOKUP(C98,WORKSHEET!$O$4:$AM$74,18,FALSE))</f>
        <v>0</v>
      </c>
      <c r="K98" s="17">
        <f>IF(D98="","",VLOOKUP(C98,WORKSHEET!$O$4:$AM$74,19,FALSE))</f>
        <v>0</v>
      </c>
      <c r="L98" s="17">
        <f>IF(D98="","",VLOOKUP(C98,WORKSHEET!$O$4:$AM$74,20,FALSE))</f>
        <v>0</v>
      </c>
      <c r="M98" s="17">
        <f t="shared" ref="M98:M102" si="127">IF(D98="","",SUM(J98:L98))</f>
        <v>0</v>
      </c>
      <c r="N98" s="20">
        <f t="shared" ref="N98:N102" si="128">IF(D98="","",IFERROR(SUM(J98:L98)/E98,0))</f>
        <v>0</v>
      </c>
      <c r="O98" s="21">
        <f>IF(D98="","",VLOOKUP(C98,WORKSHEET!$O$4:$AM$74,22,FALSE)+VLOOKUP(C98,WORKSHEET!$O$4:$AM$74,23,FALSE)+VLOOKUP(C98,WORKSHEET!$O$4:$AM$74,24,FALSE))</f>
        <v>0</v>
      </c>
      <c r="P98" s="20">
        <f t="shared" ref="P98:P102" si="129">IF(D98="","",IFERROR(O98/E98,0))</f>
        <v>0</v>
      </c>
      <c r="Q98" s="99"/>
    </row>
    <row r="99" spans="2:17" ht="15.5" x14ac:dyDescent="0.35">
      <c r="B99" s="4">
        <v>3</v>
      </c>
      <c r="C99" s="6" t="str">
        <f>C96&amp;"-"&amp;B99</f>
        <v>Toyota-3</v>
      </c>
      <c r="D99" s="16" t="str">
        <f>IFERROR(VLOOKUP(C99,WORKSHEET!$O$4:$AM$74,8,FALSE),"")</f>
        <v>Kearny Mesa Toyota</v>
      </c>
      <c r="E99" s="17">
        <f>IF(D99="","",VLOOKUP(C99,WORKSHEET!$O$4:$AM$74,9,FALSE))</f>
        <v>10</v>
      </c>
      <c r="F99" s="18">
        <f>IF(D99="","",VLOOKUP(C99,WORKSHEET!$O$4:$AM$74,10,FALSE))</f>
        <v>2</v>
      </c>
      <c r="G99" s="27">
        <f t="shared" si="125"/>
        <v>0.2</v>
      </c>
      <c r="H99" s="17">
        <f>IF(D99="","",VLOOKUP(C99,WORKSHEET!$O$4:$AM$74,16,FALSE))</f>
        <v>7</v>
      </c>
      <c r="I99" s="19">
        <f t="shared" si="126"/>
        <v>0.7</v>
      </c>
      <c r="J99" s="18">
        <f>IF(D99="","",VLOOKUP(C99,WORKSHEET!$O$4:$AM$74,18,FALSE))</f>
        <v>2</v>
      </c>
      <c r="K99" s="17">
        <f>IF(D99="","",VLOOKUP(C99,WORKSHEET!$O$4:$AM$74,19,FALSE))</f>
        <v>0</v>
      </c>
      <c r="L99" s="17">
        <f>IF(D99="","",VLOOKUP(C99,WORKSHEET!$O$4:$AM$74,20,FALSE))</f>
        <v>0</v>
      </c>
      <c r="M99" s="17">
        <f t="shared" si="127"/>
        <v>2</v>
      </c>
      <c r="N99" s="20">
        <f t="shared" si="128"/>
        <v>0.2</v>
      </c>
      <c r="O99" s="21">
        <f>IF(D99="","",VLOOKUP(C99,WORKSHEET!$O$4:$AM$74,22,FALSE)+VLOOKUP(C99,WORKSHEET!$O$4:$AM$74,23,FALSE)+VLOOKUP(C99,WORKSHEET!$O$4:$AM$74,24,FALSE))</f>
        <v>1</v>
      </c>
      <c r="P99" s="20">
        <f t="shared" si="129"/>
        <v>0.1</v>
      </c>
      <c r="Q99" s="99"/>
    </row>
    <row r="100" spans="2:17" ht="15.5" x14ac:dyDescent="0.35">
      <c r="B100" s="4">
        <v>4</v>
      </c>
      <c r="C100" s="6" t="str">
        <f>C96&amp;"-"&amp;B100</f>
        <v>Toyota-4</v>
      </c>
      <c r="D100" s="16" t="str">
        <f>IFERROR(VLOOKUP(C100,WORKSHEET!$O$4:$AM$74,8,FALSE),"")</f>
        <v>East Madison Toyota</v>
      </c>
      <c r="E100" s="17">
        <f>IF(D100="","",VLOOKUP(C100,WORKSHEET!$O$4:$AM$74,9,FALSE))</f>
        <v>7</v>
      </c>
      <c r="F100" s="18">
        <f>IF(D100="","",VLOOKUP(C100,WORKSHEET!$O$4:$AM$74,10,FALSE))</f>
        <v>1</v>
      </c>
      <c r="G100" s="27">
        <f t="shared" si="125"/>
        <v>0.14285714285714285</v>
      </c>
      <c r="H100" s="17">
        <f>IF(D100="","",VLOOKUP(C100,WORKSHEET!$O$4:$AM$74,16,FALSE))</f>
        <v>2</v>
      </c>
      <c r="I100" s="19">
        <f t="shared" si="126"/>
        <v>0.2857142857142857</v>
      </c>
      <c r="J100" s="18">
        <f>IF(D100="","",VLOOKUP(C100,WORKSHEET!$O$4:$AM$74,18,FALSE))</f>
        <v>2</v>
      </c>
      <c r="K100" s="17">
        <f>IF(D100="","",VLOOKUP(C100,WORKSHEET!$O$4:$AM$74,19,FALSE))</f>
        <v>0</v>
      </c>
      <c r="L100" s="17">
        <f>IF(D100="","",VLOOKUP(C100,WORKSHEET!$O$4:$AM$74,20,FALSE))</f>
        <v>0</v>
      </c>
      <c r="M100" s="17">
        <f t="shared" si="127"/>
        <v>2</v>
      </c>
      <c r="N100" s="20">
        <f t="shared" si="128"/>
        <v>0.2857142857142857</v>
      </c>
      <c r="O100" s="21">
        <f>IF(D100="","",VLOOKUP(C100,WORKSHEET!$O$4:$AM$74,22,FALSE)+VLOOKUP(C100,WORKSHEET!$O$4:$AM$74,23,FALSE)+VLOOKUP(C100,WORKSHEET!$O$4:$AM$74,24,FALSE))</f>
        <v>3</v>
      </c>
      <c r="P100" s="20">
        <f t="shared" si="129"/>
        <v>0.42857142857142855</v>
      </c>
      <c r="Q100" s="99"/>
    </row>
    <row r="101" spans="2:17" ht="15.5" x14ac:dyDescent="0.35">
      <c r="B101" s="4">
        <v>5</v>
      </c>
      <c r="C101" s="6" t="str">
        <f>C96&amp;"-"&amp;B101</f>
        <v>Toyota-5</v>
      </c>
      <c r="D101" s="16" t="str">
        <f>IFERROR(VLOOKUP(C101,WORKSHEET!$O$4:$AM$74,8,FALSE),"")</f>
        <v>Toyota of Clovis</v>
      </c>
      <c r="E101" s="17">
        <f>IF(D101="","",VLOOKUP(C101,WORKSHEET!$O$4:$AM$74,9,FALSE))</f>
        <v>3</v>
      </c>
      <c r="F101" s="18">
        <f>IF(D101="","",VLOOKUP(C101,WORKSHEET!$O$4:$AM$74,10,FALSE))</f>
        <v>0</v>
      </c>
      <c r="G101" s="27">
        <f t="shared" si="125"/>
        <v>0</v>
      </c>
      <c r="H101" s="17">
        <f>IF(D101="","",VLOOKUP(C101,WORKSHEET!$O$4:$AM$74,16,FALSE))</f>
        <v>3</v>
      </c>
      <c r="I101" s="19">
        <f t="shared" si="126"/>
        <v>1</v>
      </c>
      <c r="J101" s="18">
        <f>IF(D101="","",VLOOKUP(C101,WORKSHEET!$O$4:$AM$74,18,FALSE))</f>
        <v>0</v>
      </c>
      <c r="K101" s="17">
        <f>IF(D101="","",VLOOKUP(C101,WORKSHEET!$O$4:$AM$74,19,FALSE))</f>
        <v>0</v>
      </c>
      <c r="L101" s="17">
        <f>IF(D101="","",VLOOKUP(C101,WORKSHEET!$O$4:$AM$74,20,FALSE))</f>
        <v>0</v>
      </c>
      <c r="M101" s="17">
        <f t="shared" si="127"/>
        <v>0</v>
      </c>
      <c r="N101" s="20">
        <f t="shared" si="128"/>
        <v>0</v>
      </c>
      <c r="O101" s="21">
        <f>IF(D101="","",VLOOKUP(C101,WORKSHEET!$O$4:$AM$74,22,FALSE)+VLOOKUP(C101,WORKSHEET!$O$4:$AM$74,23,FALSE)+VLOOKUP(C101,WORKSHEET!$O$4:$AM$74,24,FALSE))</f>
        <v>0</v>
      </c>
      <c r="P101" s="20">
        <f t="shared" si="129"/>
        <v>0</v>
      </c>
      <c r="Q101" s="99"/>
    </row>
    <row r="102" spans="2:17" ht="15.5" hidden="1" x14ac:dyDescent="0.35">
      <c r="B102" s="4">
        <v>6</v>
      </c>
      <c r="C102" s="6" t="str">
        <f>C96&amp;"-"&amp;B102</f>
        <v>Toyota-6</v>
      </c>
      <c r="D102" s="16" t="str">
        <f>IFERROR(VLOOKUP(C102,WORKSHEET!$O$4:$AM$74,8,FALSE),"")</f>
        <v/>
      </c>
      <c r="E102" s="17" t="str">
        <f>IF(D102="","",VLOOKUP(C102,WORKSHEET!$O$4:$AM$74,9,FALSE))</f>
        <v/>
      </c>
      <c r="F102" s="18" t="str">
        <f>IF(D102="","",VLOOKUP(C102,WORKSHEET!$O$4:$AM$74,10,FALSE))</f>
        <v/>
      </c>
      <c r="G102" s="27" t="str">
        <f t="shared" si="125"/>
        <v/>
      </c>
      <c r="H102" s="17" t="str">
        <f>IF(D102="","",VLOOKUP(C102,WORKSHEET!$O$4:$AM$74,16,FALSE))</f>
        <v/>
      </c>
      <c r="I102" s="19" t="str">
        <f t="shared" si="126"/>
        <v/>
      </c>
      <c r="J102" s="18" t="str">
        <f>IF(D102="","",VLOOKUP(C102,WORKSHEET!$O$4:$AM$74,18,FALSE))</f>
        <v/>
      </c>
      <c r="K102" s="17" t="str">
        <f>IF(D102="","",VLOOKUP(C102,WORKSHEET!$O$4:$AM$74,19,FALSE))</f>
        <v/>
      </c>
      <c r="L102" s="17" t="str">
        <f>IF(D102="","",VLOOKUP(C102,WORKSHEET!$O$4:$AM$74,20,FALSE))</f>
        <v/>
      </c>
      <c r="M102" s="17" t="str">
        <f t="shared" si="127"/>
        <v/>
      </c>
      <c r="N102" s="20" t="str">
        <f t="shared" si="128"/>
        <v/>
      </c>
      <c r="O102" s="21" t="str">
        <f>IF(D102="","",VLOOKUP(C102,WORKSHEET!$O$4:$AM$74,22,FALSE)+VLOOKUP(C102,WORKSHEET!$O$4:$AM$74,23,FALSE)+VLOOKUP(C102,WORKSHEET!$O$4:$AM$74,24,FALSE))</f>
        <v/>
      </c>
      <c r="P102" s="20" t="str">
        <f t="shared" si="129"/>
        <v/>
      </c>
      <c r="Q102" s="99"/>
    </row>
    <row r="103" spans="2:17" s="6" customFormat="1" ht="15.5" x14ac:dyDescent="0.35">
      <c r="D103" s="28" t="s">
        <v>102</v>
      </c>
      <c r="E103" s="29">
        <f>SUM(E97:E102)</f>
        <v>24</v>
      </c>
      <c r="F103" s="30">
        <f>SUM(F97:F102)</f>
        <v>5</v>
      </c>
      <c r="G103" s="27">
        <f>IFERROR(F103/E103,0)</f>
        <v>0.20833333333333334</v>
      </c>
      <c r="H103" s="30">
        <f>SUM(H97:H102)</f>
        <v>16</v>
      </c>
      <c r="I103" s="19">
        <f>IFERROR(H103/E103,0)</f>
        <v>0.66666666666666663</v>
      </c>
      <c r="J103" s="30">
        <f t="shared" ref="J103" si="130">SUM(J97:J102)</f>
        <v>4</v>
      </c>
      <c r="K103" s="30">
        <f t="shared" ref="K103" si="131">SUM(K97:K102)</f>
        <v>0</v>
      </c>
      <c r="L103" s="30">
        <f t="shared" ref="L103" si="132">SUM(L97:L102)</f>
        <v>0</v>
      </c>
      <c r="M103" s="30">
        <f t="shared" ref="M103" si="133">SUM(J103:L103)</f>
        <v>4</v>
      </c>
      <c r="N103" s="31">
        <f>IFERROR(SUM(J103:L103)/E103,0)</f>
        <v>0.16666666666666666</v>
      </c>
      <c r="O103" s="30">
        <f>SUM(O97:O102)</f>
        <v>4</v>
      </c>
      <c r="P103" s="31">
        <f>IFERROR(O103/E103,0)</f>
        <v>0.16666666666666666</v>
      </c>
      <c r="Q103" s="99"/>
    </row>
    <row r="104" spans="2:17" x14ac:dyDescent="0.3">
      <c r="C104" s="6" t="s">
        <v>120</v>
      </c>
      <c r="D104" s="101" t="str">
        <f>C104</f>
        <v>Volkswagen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25"/>
    </row>
    <row r="105" spans="2:17" ht="15.5" x14ac:dyDescent="0.35">
      <c r="B105" s="4">
        <v>1</v>
      </c>
      <c r="C105" s="6" t="str">
        <f>C104&amp;"-"&amp;B105</f>
        <v>Volkswagen-1</v>
      </c>
      <c r="D105" s="16" t="str">
        <f>IFERROR(VLOOKUP(C105,WORKSHEET!$O$4:$AM$74,8,FALSE),"")</f>
        <v>Volkswagen South Coast</v>
      </c>
      <c r="E105" s="17">
        <f>IF(D105="","",VLOOKUP(C105,WORKSHEET!$O$4:$AM$74,9,FALSE))</f>
        <v>32</v>
      </c>
      <c r="F105" s="18">
        <f>IF(D105="","",VLOOKUP(C105,WORKSHEET!$O$4:$AM$74,10,FALSE))</f>
        <v>1</v>
      </c>
      <c r="G105" s="27">
        <f t="shared" ref="G105:G106" si="134">IF(D105="","",IFERROR(F105/E105,0))</f>
        <v>3.125E-2</v>
      </c>
      <c r="H105" s="17">
        <f>IF(D105="","",VLOOKUP(C105,WORKSHEET!$O$4:$AM$74,16,FALSE))</f>
        <v>12</v>
      </c>
      <c r="I105" s="19">
        <f t="shared" ref="I105:I106" si="135">IF(D105="","",IFERROR(H105/E105,0))</f>
        <v>0.375</v>
      </c>
      <c r="J105" s="18">
        <f>IF(D105="","",VLOOKUP(C105,WORKSHEET!$O$4:$AM$74,18,FALSE))</f>
        <v>0</v>
      </c>
      <c r="K105" s="17">
        <f>IF(D105="","",VLOOKUP(C105,WORKSHEET!$O$4:$AM$74,19,FALSE))</f>
        <v>0</v>
      </c>
      <c r="L105" s="17">
        <f>IF(D105="","",VLOOKUP(C105,WORKSHEET!$O$4:$AM$74,20,FALSE))</f>
        <v>0</v>
      </c>
      <c r="M105" s="17">
        <f t="shared" ref="M105:M106" si="136">IF(D105="","",SUM(J105:L105))</f>
        <v>0</v>
      </c>
      <c r="N105" s="20">
        <f t="shared" ref="N105:N106" si="137">IF(D105="","",IFERROR(SUM(J105:L105)/E105,0))</f>
        <v>0</v>
      </c>
      <c r="O105" s="21">
        <f>IF(D105="","",VLOOKUP(C105,WORKSHEET!$O$4:$AM$74,22,FALSE)+VLOOKUP(C105,WORKSHEET!$O$4:$AM$74,23,FALSE)+VLOOKUP(C105,WORKSHEET!$O$4:$AM$74,24,FALSE))</f>
        <v>20</v>
      </c>
      <c r="P105" s="20">
        <f t="shared" ref="P105:P106" si="138">IF(D105="","",IFERROR(O105/E105,0))</f>
        <v>0.625</v>
      </c>
      <c r="Q105" s="99">
        <v>0.54</v>
      </c>
    </row>
    <row r="106" spans="2:17" ht="15.5" x14ac:dyDescent="0.35">
      <c r="B106" s="4">
        <v>2</v>
      </c>
      <c r="C106" s="6" t="str">
        <f>C104&amp;"-"&amp;B106</f>
        <v>Volkswagen-2</v>
      </c>
      <c r="D106" s="16" t="str">
        <f>IFERROR(VLOOKUP(C106,WORKSHEET!$O$4:$AM$74,8,FALSE),"")</f>
        <v>Volkswagen North Scottsdale</v>
      </c>
      <c r="E106" s="17">
        <f>IF(D106="","",VLOOKUP(C106,WORKSHEET!$O$4:$AM$74,9,FALSE))</f>
        <v>2</v>
      </c>
      <c r="F106" s="18">
        <f>IF(D106="","",VLOOKUP(C106,WORKSHEET!$O$4:$AM$74,10,FALSE))</f>
        <v>0</v>
      </c>
      <c r="G106" s="27">
        <f t="shared" si="134"/>
        <v>0</v>
      </c>
      <c r="H106" s="17">
        <f>IF(D106="","",VLOOKUP(C106,WORKSHEET!$O$4:$AM$74,16,FALSE))</f>
        <v>2</v>
      </c>
      <c r="I106" s="19">
        <f t="shared" si="135"/>
        <v>1</v>
      </c>
      <c r="J106" s="18">
        <f>IF(D106="","",VLOOKUP(C106,WORKSHEET!$O$4:$AM$74,18,FALSE))</f>
        <v>0</v>
      </c>
      <c r="K106" s="17">
        <f>IF(D106="","",VLOOKUP(C106,WORKSHEET!$O$4:$AM$74,19,FALSE))</f>
        <v>0</v>
      </c>
      <c r="L106" s="17">
        <f>IF(D106="","",VLOOKUP(C106,WORKSHEET!$O$4:$AM$74,20,FALSE))</f>
        <v>0</v>
      </c>
      <c r="M106" s="17">
        <f t="shared" si="136"/>
        <v>0</v>
      </c>
      <c r="N106" s="20">
        <f t="shared" si="137"/>
        <v>0</v>
      </c>
      <c r="O106" s="21">
        <f>IF(D106="","",VLOOKUP(C106,WORKSHEET!$O$4:$AM$74,22,FALSE)+VLOOKUP(C106,WORKSHEET!$O$4:$AM$74,23,FALSE)+VLOOKUP(C106,WORKSHEET!$O$4:$AM$74,24,FALSE))</f>
        <v>0</v>
      </c>
      <c r="P106" s="20">
        <f t="shared" si="138"/>
        <v>0</v>
      </c>
      <c r="Q106" s="99"/>
    </row>
    <row r="107" spans="2:17" s="6" customFormat="1" ht="16" thickBot="1" x14ac:dyDescent="0.4">
      <c r="D107" s="28" t="s">
        <v>102</v>
      </c>
      <c r="E107" s="29">
        <f>SUM(E105:E106)</f>
        <v>34</v>
      </c>
      <c r="F107" s="30">
        <f>SUM(F105:F106)</f>
        <v>1</v>
      </c>
      <c r="G107" s="27">
        <f>IFERROR(F107/E107,0)</f>
        <v>2.9411764705882353E-2</v>
      </c>
      <c r="H107" s="30">
        <f>SUM(H105:H106)</f>
        <v>14</v>
      </c>
      <c r="I107" s="19">
        <f>IFERROR(H107/E107,0)</f>
        <v>0.41176470588235292</v>
      </c>
      <c r="J107" s="30">
        <f t="shared" ref="J107" si="139">SUM(J105:J106)</f>
        <v>0</v>
      </c>
      <c r="K107" s="30">
        <f t="shared" ref="K107" si="140">SUM(K105:K106)</f>
        <v>0</v>
      </c>
      <c r="L107" s="30">
        <f t="shared" ref="L107" si="141">SUM(L105:L106)</f>
        <v>0</v>
      </c>
      <c r="M107" s="30">
        <f t="shared" ref="M107" si="142">SUM(J107:L107)</f>
        <v>0</v>
      </c>
      <c r="N107" s="31">
        <f>IFERROR(SUM(J107:L107)/E107,0)</f>
        <v>0</v>
      </c>
      <c r="O107" s="30">
        <f>SUM(O105:O106)</f>
        <v>20</v>
      </c>
      <c r="P107" s="31">
        <f>IFERROR(O107/E107,0)</f>
        <v>0.58823529411764708</v>
      </c>
      <c r="Q107" s="99"/>
    </row>
    <row r="108" spans="2:17" s="38" customFormat="1" ht="20.149999999999999" customHeight="1" thickTop="1" x14ac:dyDescent="0.35">
      <c r="D108" s="34" t="s">
        <v>121</v>
      </c>
      <c r="E108" s="35">
        <f>SUM(E107,E103,E90,E95,E87,E83,E73,E68,E65,E62,E55,E51,E45,E30,E33,E19,E11,E48)</f>
        <v>1109</v>
      </c>
      <c r="F108" s="35">
        <f>SUM(F107,F103,F90,F95,F87,F83,F73,F68,F65,F62,F55,F51,F45,F30,F33,F19,F11,F48)</f>
        <v>393</v>
      </c>
      <c r="G108" s="36">
        <f>IFERROR(F108/E108,0)</f>
        <v>0.35437330928764654</v>
      </c>
      <c r="H108" s="35">
        <f>SUM(H107,H103,H90,H95,H87,H83,H73,H68,H65,H62,H55,H51,H45,H30,H33,H19,H11,H48)</f>
        <v>718</v>
      </c>
      <c r="I108" s="36">
        <f>IFERROR(H108/E108,0)</f>
        <v>0.64743011722272314</v>
      </c>
      <c r="J108" s="35">
        <f>SUM(J107,J103,J90,J95,J87,J83,J73,J68,J65,J62,J55,J51,J45,J30,J33,J19,J11)</f>
        <v>41</v>
      </c>
      <c r="K108" s="35">
        <f>SUM(K107,K103,K90,K95,K87,K83,K73,K68,K65,K62,K55,K51,K45,K30,K33,K19,K11)</f>
        <v>19</v>
      </c>
      <c r="L108" s="35">
        <f>SUM(L107,L103,L90,L95,L87,L83,L73,L68,L65,L62,L55,L51,L45,L30,L33,L19,L11)</f>
        <v>29</v>
      </c>
      <c r="M108" s="35">
        <f>SUM(M107,M103,M90,M95,M87,M83,M73,M68,M65,M62,M55,M51,M45,M30,M33,M19,M11,M48)</f>
        <v>89</v>
      </c>
      <c r="N108" s="37">
        <f>IFERROR(SUM(J108:L108)/E108,0)</f>
        <v>8.025247971145176E-2</v>
      </c>
      <c r="O108" s="35">
        <f>SUM(O107,O103,O90,O95,O87,O83,O73,O68,O65,O62,O55,O51,O45,O30,O33,O19,O11,O48)</f>
        <v>302</v>
      </c>
      <c r="P108" s="37">
        <f>IFERROR(O108/E108,0)</f>
        <v>0.27231740306582508</v>
      </c>
      <c r="Q108" s="39"/>
    </row>
  </sheetData>
  <sortState xmlns:xlrd2="http://schemas.microsoft.com/office/spreadsheetml/2017/richdata2" ref="C8:C63">
    <sortCondition ref="C8:C63"/>
  </sortState>
  <mergeCells count="42">
    <mergeCell ref="Q47:Q48"/>
    <mergeCell ref="D5:E5"/>
    <mergeCell ref="H5:I5"/>
    <mergeCell ref="J5:N5"/>
    <mergeCell ref="O5:P5"/>
    <mergeCell ref="Q5:Q6"/>
    <mergeCell ref="D46:P46"/>
    <mergeCell ref="D34:P34"/>
    <mergeCell ref="D104:P104"/>
    <mergeCell ref="D49:P49"/>
    <mergeCell ref="D52:P52"/>
    <mergeCell ref="D56:P56"/>
    <mergeCell ref="D63:P63"/>
    <mergeCell ref="D66:P66"/>
    <mergeCell ref="D69:P69"/>
    <mergeCell ref="D74:P74"/>
    <mergeCell ref="D84:P84"/>
    <mergeCell ref="D91:P91"/>
    <mergeCell ref="D88:P88"/>
    <mergeCell ref="D96:P96"/>
    <mergeCell ref="Q105:Q107"/>
    <mergeCell ref="Q70:Q73"/>
    <mergeCell ref="Q75:Q83"/>
    <mergeCell ref="Q85:Q87"/>
    <mergeCell ref="Q97:Q103"/>
    <mergeCell ref="Q89:Q90"/>
    <mergeCell ref="D4:O4"/>
    <mergeCell ref="Q57:Q62"/>
    <mergeCell ref="Q64:Q65"/>
    <mergeCell ref="Q67:Q68"/>
    <mergeCell ref="Q8:Q11"/>
    <mergeCell ref="Q13:Q19"/>
    <mergeCell ref="Q21:Q30"/>
    <mergeCell ref="Q38:Q45"/>
    <mergeCell ref="Q50:Q51"/>
    <mergeCell ref="D7:P7"/>
    <mergeCell ref="D12:P12"/>
    <mergeCell ref="D31:P31"/>
    <mergeCell ref="D37:P37"/>
    <mergeCell ref="D20:P20"/>
    <mergeCell ref="F5:G5"/>
    <mergeCell ref="Q53:Q55"/>
  </mergeCells>
  <conditionalFormatting sqref="D47:P48 D21:P36 D8:P11 D13:P19 D38:P45 D50:P51 D53:P55 D57:P62 D64:P65 D67:P68 D70:P73 D75:P83 D85:P90 D92:P95 D97:P103 D105:P108">
    <cfRule type="cellIs" dxfId="66" priority="10" stopIfTrue="1" operator="equal">
      <formula>""</formula>
    </cfRule>
  </conditionalFormatting>
  <conditionalFormatting sqref="G8:G11 G50:G51 G75:G83">
    <cfRule type="cellIs" dxfId="65" priority="70" stopIfTrue="1" operator="between">
      <formula>0.095</formula>
      <formula>0.145</formula>
    </cfRule>
  </conditionalFormatting>
  <conditionalFormatting sqref="G8:G11 G75:G83 G50:G51">
    <cfRule type="cellIs" dxfId="64" priority="69" stopIfTrue="1" operator="lessThan">
      <formula>0.095</formula>
    </cfRule>
  </conditionalFormatting>
  <conditionalFormatting sqref="G13:G18 G21:G29 G32 G47:G48">
    <cfRule type="cellIs" dxfId="63" priority="15" stopIfTrue="1" operator="lessThan">
      <formula>0.095</formula>
    </cfRule>
    <cfRule type="cellIs" dxfId="62" priority="16" stopIfTrue="1" operator="between">
      <formula>0.095</formula>
      <formula>0.145</formula>
    </cfRule>
  </conditionalFormatting>
  <conditionalFormatting sqref="G13:G19">
    <cfRule type="cellIs" dxfId="61" priority="66" stopIfTrue="1" operator="lessThan">
      <formula>0.095</formula>
    </cfRule>
    <cfRule type="cellIs" dxfId="60" priority="67" stopIfTrue="1" operator="between">
      <formula>0.095</formula>
      <formula>0.145</formula>
    </cfRule>
    <cfRule type="cellIs" dxfId="59" priority="65" stopIfTrue="1" operator="greaterThanOrEqual">
      <formula>0.145</formula>
    </cfRule>
  </conditionalFormatting>
  <conditionalFormatting sqref="G21:G36">
    <cfRule type="cellIs" dxfId="58" priority="61" stopIfTrue="1" operator="between">
      <formula>0.095</formula>
      <formula>0.145</formula>
    </cfRule>
    <cfRule type="cellIs" dxfId="57" priority="60" stopIfTrue="1" operator="lessThan">
      <formula>0.095</formula>
    </cfRule>
    <cfRule type="cellIs" dxfId="56" priority="59" stopIfTrue="1" operator="greaterThanOrEqual">
      <formula>0.145</formula>
    </cfRule>
  </conditionalFormatting>
  <conditionalFormatting sqref="G32:G33 G35:G36">
    <cfRule type="cellIs" dxfId="55" priority="64" stopIfTrue="1" operator="between">
      <formula>0.095</formula>
      <formula>0.145</formula>
    </cfRule>
    <cfRule type="cellIs" dxfId="54" priority="63" stopIfTrue="1" operator="lessThan">
      <formula>0.095</formula>
    </cfRule>
    <cfRule type="cellIs" dxfId="53" priority="62" stopIfTrue="1" operator="greaterThanOrEqual">
      <formula>0.145</formula>
    </cfRule>
  </conditionalFormatting>
  <conditionalFormatting sqref="G35">
    <cfRule type="cellIs" dxfId="52" priority="1" stopIfTrue="1" operator="greaterThanOrEqual">
      <formula>0.145</formula>
    </cfRule>
    <cfRule type="cellIs" dxfId="51" priority="2" stopIfTrue="1" operator="lessThan">
      <formula>0.095</formula>
    </cfRule>
    <cfRule type="cellIs" dxfId="50" priority="3" stopIfTrue="1" operator="between">
      <formula>0.095</formula>
      <formula>0.145</formula>
    </cfRule>
  </conditionalFormatting>
  <conditionalFormatting sqref="G38:G44 G50 G53:G54 G57:G61 G64 G67 G70:G72 G75:G82 G85:G86 G89 G92:G94 G97:G102 G105:G106">
    <cfRule type="cellIs" dxfId="49" priority="12" stopIfTrue="1" operator="lessThan">
      <formula>0.095</formula>
    </cfRule>
    <cfRule type="cellIs" dxfId="48" priority="13" stopIfTrue="1" operator="between">
      <formula>0.095</formula>
      <formula>0.145</formula>
    </cfRule>
    <cfRule type="cellIs" dxfId="47" priority="11" stopIfTrue="1" operator="greaterThanOrEqual">
      <formula>0.145</formula>
    </cfRule>
  </conditionalFormatting>
  <conditionalFormatting sqref="G38:G45">
    <cfRule type="cellIs" dxfId="46" priority="56" stopIfTrue="1" operator="greaterThanOrEqual">
      <formula>0.145</formula>
    </cfRule>
    <cfRule type="cellIs" dxfId="45" priority="58" stopIfTrue="1" operator="between">
      <formula>0.095</formula>
      <formula>0.145</formula>
    </cfRule>
    <cfRule type="cellIs" dxfId="44" priority="57" stopIfTrue="1" operator="lessThan">
      <formula>0.095</formula>
    </cfRule>
  </conditionalFormatting>
  <conditionalFormatting sqref="G47">
    <cfRule type="cellIs" dxfId="43" priority="4" stopIfTrue="1" operator="greaterThanOrEqual">
      <formula>0.145</formula>
    </cfRule>
    <cfRule type="cellIs" dxfId="42" priority="5" stopIfTrue="1" operator="lessThan">
      <formula>0.095</formula>
    </cfRule>
    <cfRule type="cellIs" dxfId="41" priority="6" stopIfTrue="1" operator="between">
      <formula>0.095</formula>
      <formula>0.145</formula>
    </cfRule>
  </conditionalFormatting>
  <conditionalFormatting sqref="G50:G51 G13:G18 G21:G29 G32 G47:G48">
    <cfRule type="cellIs" dxfId="40" priority="14" stopIfTrue="1" operator="greaterThanOrEqual">
      <formula>0.145</formula>
    </cfRule>
  </conditionalFormatting>
  <conditionalFormatting sqref="G53:G55">
    <cfRule type="cellIs" dxfId="39" priority="52" stopIfTrue="1" operator="between">
      <formula>0.095</formula>
      <formula>0.145</formula>
    </cfRule>
    <cfRule type="cellIs" dxfId="38" priority="50" stopIfTrue="1" operator="greaterThanOrEqual">
      <formula>0.145</formula>
    </cfRule>
    <cfRule type="cellIs" dxfId="37" priority="51" stopIfTrue="1" operator="lessThan">
      <formula>0.095</formula>
    </cfRule>
  </conditionalFormatting>
  <conditionalFormatting sqref="G57:G62">
    <cfRule type="cellIs" dxfId="36" priority="49" stopIfTrue="1" operator="between">
      <formula>0.095</formula>
      <formula>0.145</formula>
    </cfRule>
    <cfRule type="cellIs" dxfId="35" priority="48" stopIfTrue="1" operator="lessThan">
      <formula>0.095</formula>
    </cfRule>
    <cfRule type="cellIs" dxfId="34" priority="47" stopIfTrue="1" operator="greaterThanOrEqual">
      <formula>0.145</formula>
    </cfRule>
  </conditionalFormatting>
  <conditionalFormatting sqref="G64:G65">
    <cfRule type="cellIs" dxfId="33" priority="44" stopIfTrue="1" operator="greaterThanOrEqual">
      <formula>0.145</formula>
    </cfRule>
    <cfRule type="cellIs" dxfId="32" priority="45" stopIfTrue="1" operator="lessThan">
      <formula>0.095</formula>
    </cfRule>
    <cfRule type="cellIs" dxfId="31" priority="46" stopIfTrue="1" operator="between">
      <formula>0.095</formula>
      <formula>0.145</formula>
    </cfRule>
  </conditionalFormatting>
  <conditionalFormatting sqref="G67:G68">
    <cfRule type="cellIs" dxfId="30" priority="41" stopIfTrue="1" operator="greaterThanOrEqual">
      <formula>0.145</formula>
    </cfRule>
    <cfRule type="cellIs" dxfId="29" priority="42" stopIfTrue="1" operator="lessThan">
      <formula>0.095</formula>
    </cfRule>
    <cfRule type="cellIs" dxfId="28" priority="43" stopIfTrue="1" operator="between">
      <formula>0.095</formula>
      <formula>0.145</formula>
    </cfRule>
  </conditionalFormatting>
  <conditionalFormatting sqref="G70:G73">
    <cfRule type="cellIs" dxfId="27" priority="39" stopIfTrue="1" operator="lessThan">
      <formula>0.095</formula>
    </cfRule>
    <cfRule type="cellIs" dxfId="26" priority="38" stopIfTrue="1" operator="greaterThanOrEqual">
      <formula>0.145</formula>
    </cfRule>
    <cfRule type="cellIs" dxfId="25" priority="40" stopIfTrue="1" operator="between">
      <formula>0.095</formula>
      <formula>0.145</formula>
    </cfRule>
  </conditionalFormatting>
  <conditionalFormatting sqref="G75:G83 G8:G11">
    <cfRule type="cellIs" dxfId="24" priority="68" stopIfTrue="1" operator="greaterThanOrEqual">
      <formula>0.145</formula>
    </cfRule>
  </conditionalFormatting>
  <conditionalFormatting sqref="G85:G90">
    <cfRule type="cellIs" dxfId="23" priority="31" stopIfTrue="1" operator="between">
      <formula>0.095</formula>
      <formula>0.145</formula>
    </cfRule>
    <cfRule type="cellIs" dxfId="22" priority="30" stopIfTrue="1" operator="lessThan">
      <formula>0.095</formula>
    </cfRule>
    <cfRule type="cellIs" dxfId="21" priority="29" stopIfTrue="1" operator="greaterThanOrEqual">
      <formula>0.145</formula>
    </cfRule>
  </conditionalFormatting>
  <conditionalFormatting sqref="G89:G90">
    <cfRule type="cellIs" dxfId="20" priority="23" stopIfTrue="1" operator="greaterThanOrEqual">
      <formula>0.145</formula>
    </cfRule>
    <cfRule type="cellIs" dxfId="19" priority="25" stopIfTrue="1" operator="between">
      <formula>0.095</formula>
      <formula>0.145</formula>
    </cfRule>
    <cfRule type="cellIs" dxfId="18" priority="24" stopIfTrue="1" operator="lessThan">
      <formula>0.095</formula>
    </cfRule>
  </conditionalFormatting>
  <conditionalFormatting sqref="G92:G95">
    <cfRule type="cellIs" dxfId="17" priority="27" stopIfTrue="1" operator="lessThan">
      <formula>0.095</formula>
    </cfRule>
    <cfRule type="cellIs" dxfId="16" priority="28" stopIfTrue="1" operator="between">
      <formula>0.095</formula>
      <formula>0.145</formula>
    </cfRule>
    <cfRule type="cellIs" dxfId="15" priority="26" stopIfTrue="1" operator="greaterThanOrEqual">
      <formula>0.145</formula>
    </cfRule>
  </conditionalFormatting>
  <conditionalFormatting sqref="G97:G103">
    <cfRule type="cellIs" dxfId="14" priority="20" stopIfTrue="1" operator="greaterThanOrEqual">
      <formula>0.145</formula>
    </cfRule>
    <cfRule type="cellIs" dxfId="13" priority="21" stopIfTrue="1" operator="lessThan">
      <formula>0.095</formula>
    </cfRule>
    <cfRule type="cellIs" dxfId="12" priority="22" stopIfTrue="1" operator="between">
      <formula>0.095</formula>
      <formula>0.145</formula>
    </cfRule>
  </conditionalFormatting>
  <conditionalFormatting sqref="G105:G108">
    <cfRule type="cellIs" dxfId="11" priority="17" stopIfTrue="1" operator="greaterThanOrEqual">
      <formula>0.145</formula>
    </cfRule>
    <cfRule type="cellIs" dxfId="10" priority="18" stopIfTrue="1" operator="lessThan">
      <formula>0.095</formula>
    </cfRule>
    <cfRule type="cellIs" dxfId="9" priority="19" stopIfTrue="1" operator="between">
      <formula>0.095</formula>
      <formula>0.145</formula>
    </cfRule>
  </conditionalFormatting>
  <conditionalFormatting sqref="I8:I11 I13:I19 I21:I36 I38:I45 I47:I48 I50:I51 I53:I55 I57:I62 I64:I65 I67:I68 I70:I73 I75:I83 I85:I90 I92:I95 I97:I103 I105:I108">
    <cfRule type="cellIs" dxfId="8" priority="71" stopIfTrue="1" operator="greaterThanOrEqual">
      <formula>0.495</formula>
    </cfRule>
    <cfRule type="cellIs" dxfId="7" priority="72" operator="lessThan">
      <formula>0.345</formula>
    </cfRule>
    <cfRule type="cellIs" dxfId="6" priority="73" stopIfTrue="1" operator="between">
      <formula>0.345</formula>
      <formula>0.495</formula>
    </cfRule>
  </conditionalFormatting>
  <printOptions horizontalCentered="1" verticalCentered="1"/>
  <pageMargins left="0.25" right="0.25" top="0.25" bottom="0.25" header="0.05" footer="0.05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B67-7222-8047-85D0-89BC2A5436DB}">
  <sheetPr>
    <tabColor rgb="FFFFFF00"/>
  </sheetPr>
  <dimension ref="A1:AM505"/>
  <sheetViews>
    <sheetView topLeftCell="V167" zoomScale="80" zoomScaleNormal="80" workbookViewId="0">
      <selection activeCell="V201" sqref="V201"/>
    </sheetView>
  </sheetViews>
  <sheetFormatPr defaultColWidth="11.453125" defaultRowHeight="14.5" x14ac:dyDescent="0.35"/>
  <cols>
    <col min="1" max="1" width="2.81640625" hidden="1" customWidth="1"/>
    <col min="2" max="8" width="10.54296875" hidden="1" customWidth="1"/>
    <col min="9" max="9" width="12.453125" hidden="1" customWidth="1"/>
    <col min="10" max="10" width="13.54296875" hidden="1" customWidth="1"/>
    <col min="11" max="20" width="10.54296875" hidden="1" customWidth="1"/>
    <col min="21" max="21" width="2.81640625" hidden="1" customWidth="1"/>
    <col min="22" max="22" width="32.81640625" customWidth="1"/>
    <col min="23" max="26" width="14.453125" customWidth="1"/>
    <col min="27" max="27" width="11.453125" customWidth="1"/>
    <col min="28" max="28" width="15.81640625" customWidth="1"/>
    <col min="29" max="29" width="14.453125" customWidth="1"/>
    <col min="30" max="30" width="15.81640625" customWidth="1"/>
    <col min="31" max="31" width="12.54296875" bestFit="1" customWidth="1"/>
    <col min="32" max="32" width="11.453125" bestFit="1" customWidth="1"/>
    <col min="33" max="33" width="15.81640625" bestFit="1" customWidth="1"/>
    <col min="34" max="34" width="11.453125" bestFit="1" customWidth="1"/>
    <col min="35" max="35" width="12.1796875" bestFit="1" customWidth="1"/>
    <col min="36" max="36" width="15" bestFit="1" customWidth="1"/>
    <col min="37" max="38" width="13.453125" bestFit="1" customWidth="1"/>
    <col min="39" max="39" width="16.453125" bestFit="1" customWidth="1"/>
  </cols>
  <sheetData>
    <row r="1" spans="1:39" x14ac:dyDescent="0.35">
      <c r="V1" s="83" t="s">
        <v>122</v>
      </c>
      <c r="W1" s="84" t="s">
        <v>2</v>
      </c>
      <c r="X1" s="84" t="s">
        <v>123</v>
      </c>
      <c r="Y1" s="84" t="s">
        <v>124</v>
      </c>
      <c r="Z1" s="84" t="s">
        <v>125</v>
      </c>
      <c r="AA1" s="84" t="s">
        <v>126</v>
      </c>
      <c r="AB1" s="84" t="s">
        <v>127</v>
      </c>
    </row>
    <row r="2" spans="1:39" ht="16" customHeight="1" x14ac:dyDescent="0.35">
      <c r="A2" s="2"/>
      <c r="B2" s="2"/>
      <c r="C2" s="107" t="str">
        <f>W1</f>
        <v>Dec 2025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</row>
    <row r="3" spans="1:39" x14ac:dyDescent="0.35">
      <c r="A3" s="2"/>
      <c r="B3" s="2" t="s">
        <v>128</v>
      </c>
      <c r="C3" s="2"/>
      <c r="D3" s="2"/>
      <c r="E3" s="2"/>
      <c r="F3" s="2"/>
      <c r="G3" s="2"/>
      <c r="H3" s="2"/>
      <c r="I3" s="2" t="s">
        <v>129</v>
      </c>
      <c r="J3" s="2"/>
      <c r="K3" s="2"/>
      <c r="L3" s="2"/>
      <c r="M3" s="2"/>
      <c r="N3" s="2"/>
      <c r="O3" s="2" t="s">
        <v>130</v>
      </c>
      <c r="P3" s="2"/>
      <c r="Q3" s="2"/>
      <c r="R3" s="2"/>
      <c r="S3" s="2"/>
      <c r="T3" s="2"/>
      <c r="U3" s="2"/>
      <c r="V3" s="2" t="s">
        <v>100</v>
      </c>
      <c r="W3" s="2" t="s">
        <v>131</v>
      </c>
      <c r="X3" s="2" t="s">
        <v>132</v>
      </c>
      <c r="Y3" s="2" t="s">
        <v>133</v>
      </c>
      <c r="Z3" s="2" t="s">
        <v>134</v>
      </c>
      <c r="AA3" s="2" t="s">
        <v>132</v>
      </c>
      <c r="AB3" s="2" t="s">
        <v>135</v>
      </c>
      <c r="AC3" s="2" t="s">
        <v>136</v>
      </c>
      <c r="AD3" s="2" t="s">
        <v>137</v>
      </c>
      <c r="AE3" s="2" t="s">
        <v>138</v>
      </c>
      <c r="AF3" s="2" t="s">
        <v>139</v>
      </c>
      <c r="AG3" s="2" t="s">
        <v>140</v>
      </c>
      <c r="AH3" s="2" t="s">
        <v>15</v>
      </c>
      <c r="AI3" s="2" t="s">
        <v>141</v>
      </c>
      <c r="AJ3" s="2" t="s">
        <v>142</v>
      </c>
      <c r="AK3" s="2" t="s">
        <v>143</v>
      </c>
      <c r="AL3" s="2" t="s">
        <v>144</v>
      </c>
      <c r="AM3" s="2" t="s">
        <v>145</v>
      </c>
    </row>
    <row r="4" spans="1:39" x14ac:dyDescent="0.35">
      <c r="B4" t="str">
        <f>IF(V4="","",H4&amp;"-"&amp;D4)</f>
        <v>Arizona-7</v>
      </c>
      <c r="C4" t="str">
        <f>IF(V4="","",$W$1&amp;"-"&amp;B4)</f>
        <v>Dec 2025-Arizona-7</v>
      </c>
      <c r="D4">
        <f t="shared" ref="D4:D67" si="0">IF(V4="","",COUNTIFS($H$4:$H$74,H4,$E$4:$E$74,"&lt;"&amp;E4)+1)</f>
        <v>7</v>
      </c>
      <c r="E4">
        <f>IF(V4="","",G4+(F4/100))</f>
        <v>7.01</v>
      </c>
      <c r="F4">
        <f>IF(V4="","",COUNTIFS($H$4:$H$74,H4,$V$4:$V$74,"&lt;"&amp;V4)+1)</f>
        <v>1</v>
      </c>
      <c r="G4">
        <f>IF(V4="","",COUNTIFS($H$4:$H$74,H4,$Y$4:$Y$74,"&gt;"&amp;Y4)+1)</f>
        <v>7</v>
      </c>
      <c r="H4" t="str">
        <f>IF(V4="","",IFERROR(VLOOKUP(TRIM($V4),KEY!$B$2:$F$72,3,FALSE),""))</f>
        <v>Arizona</v>
      </c>
      <c r="I4" t="str">
        <f>IF(V4="","","WEST-"&amp;K4)</f>
        <v>WEST-15</v>
      </c>
      <c r="J4" t="str">
        <f>IF(V4="","",$W$1&amp;"-"&amp;I4)</f>
        <v>Dec 2025-WEST-15</v>
      </c>
      <c r="K4">
        <f t="shared" ref="K4:K67" si="1">IFERROR(IF(V4="","",RANK(L4,$L$4:$L$74,1)),"-")</f>
        <v>15</v>
      </c>
      <c r="L4">
        <f>IFERROR(IF(V4="","",N4+(M4/100)),"-")</f>
        <v>15.01</v>
      </c>
      <c r="M4">
        <f>IF(V4="","",IFERROR(VLOOKUP(TRIM($V4),KEY!$B$2:$F$72,5,FALSE),""))</f>
        <v>1</v>
      </c>
      <c r="N4">
        <f t="shared" ref="N4:N67" si="2">IFERROR(IF(V4="","",RANK(Y4,$Y$4:$Y$74)),"-")</f>
        <v>15</v>
      </c>
      <c r="O4" t="str">
        <f>IF(V4="","",T4&amp;"-"&amp;P4)</f>
        <v>Acura-1</v>
      </c>
      <c r="P4">
        <f>IF(OR(V4="",Q4=""),"",COUNTIFS($T$4:$T$74,T4,$Q$4:$Q$74,"&lt;"&amp;Q4)+1)</f>
        <v>1</v>
      </c>
      <c r="Q4">
        <f>IF(OR(V4="",W4=0),"",S4+(R4/100))</f>
        <v>1.01</v>
      </c>
      <c r="R4">
        <f t="shared" ref="R4:R67" si="3">IF(V4="","",COUNTIFS($T$4:$T$74,T4,$V$4:$V$74,"&lt;"&amp;V4)+1)</f>
        <v>1</v>
      </c>
      <c r="S4">
        <f t="shared" ref="S4:S67" si="4">IF(V4="","",COUNTIFS($T$4:$T$74,T4,$Y$4:$Y$74,"&gt;"&amp;Y4)+1)</f>
        <v>1</v>
      </c>
      <c r="T4" t="str">
        <f>IF(V4="","",IFERROR(VLOOKUP(TRIM($V4),KEY!$B$2:$F$72,2,FALSE),""))</f>
        <v>Acura</v>
      </c>
      <c r="V4" s="78" t="s">
        <v>146</v>
      </c>
      <c r="W4" s="78">
        <v>11</v>
      </c>
      <c r="X4" s="78">
        <v>5</v>
      </c>
      <c r="Y4" s="78">
        <v>45</v>
      </c>
      <c r="Z4" s="78">
        <v>1</v>
      </c>
      <c r="AA4" s="78">
        <v>5</v>
      </c>
      <c r="AB4" s="78">
        <v>0</v>
      </c>
      <c r="AC4" s="78">
        <v>1</v>
      </c>
      <c r="AD4" s="78">
        <v>7</v>
      </c>
      <c r="AE4" s="78">
        <v>64</v>
      </c>
      <c r="AF4" s="78">
        <v>1</v>
      </c>
      <c r="AG4" s="78">
        <v>0</v>
      </c>
      <c r="AH4" s="78">
        <v>0</v>
      </c>
      <c r="AI4" s="78">
        <v>9</v>
      </c>
      <c r="AJ4" s="78">
        <v>0</v>
      </c>
      <c r="AK4" s="78">
        <v>3</v>
      </c>
      <c r="AL4" s="78">
        <v>0</v>
      </c>
      <c r="AM4" s="78">
        <v>27</v>
      </c>
    </row>
    <row r="5" spans="1:39" x14ac:dyDescent="0.35">
      <c r="B5" t="str">
        <f t="shared" ref="B5:B74" si="5">IF(V5="","",H5&amp;"-"&amp;D5)</f>
        <v>Arizona-12</v>
      </c>
      <c r="C5" t="str">
        <f t="shared" ref="C5:C74" si="6">IF(V5="","",$W$1&amp;"-"&amp;B5)</f>
        <v>Dec 2025-Arizona-12</v>
      </c>
      <c r="D5">
        <f t="shared" si="0"/>
        <v>12</v>
      </c>
      <c r="E5">
        <f t="shared" ref="E5:E74" si="7">IF(V5="","",G5+(F5/100))</f>
        <v>12.14</v>
      </c>
      <c r="F5">
        <f t="shared" ref="F5:F68" si="8">IF(V5="","",COUNTIFS($H$4:$H$74,H5,$V$4:$V$74,"&lt;"&amp;V5)+1)</f>
        <v>14</v>
      </c>
      <c r="G5">
        <f t="shared" ref="G5:G68" si="9">IF(V5="","",COUNTIFS($H$4:$H$74,H5,$Y$4:$Y$74,"&gt;"&amp;Y5)+1)</f>
        <v>12</v>
      </c>
      <c r="H5" t="str">
        <f>IF(V5="","",IFERROR(VLOOKUP(TRIM($V5),KEY!$B$2:$F$72,3,FALSE),""))</f>
        <v>Arizona</v>
      </c>
      <c r="I5" t="str">
        <f t="shared" ref="I5:I74" si="10">IF(V5="","","WEST-"&amp;K5)</f>
        <v>WEST-38</v>
      </c>
      <c r="J5" t="str">
        <f t="shared" ref="J5:J74" si="11">IF(V5="","",$W$1&amp;"-"&amp;I5)</f>
        <v>Dec 2025-WEST-38</v>
      </c>
      <c r="K5">
        <f t="shared" si="1"/>
        <v>38</v>
      </c>
      <c r="L5">
        <f t="shared" ref="L5:L74" si="12">IFERROR(IF(V5="","",N5+(M5/100)),"-")</f>
        <v>38.57</v>
      </c>
      <c r="M5">
        <f>IF(V5="","",IFERROR(VLOOKUP(TRIM($V5),KEY!$B$2:$F$72,5,FALSE),""))</f>
        <v>57</v>
      </c>
      <c r="N5">
        <f t="shared" si="2"/>
        <v>38</v>
      </c>
      <c r="O5" t="str">
        <f t="shared" ref="O5:O74" si="13">IF(V5="","",T5&amp;"-"&amp;P5)</f>
        <v>Honda-7</v>
      </c>
      <c r="P5">
        <f t="shared" ref="P5:P68" si="14">IF(OR(V5="",Q5=""),"",COUNTIFS($T$4:$T$74,T5,$Q$4:$Q$74,"&lt;"&amp;Q5)+1)</f>
        <v>7</v>
      </c>
      <c r="Q5">
        <f t="shared" ref="Q5:Q68" si="15">IF(OR(V5="",W5=0),"",S5+(R5/100))</f>
        <v>7.07</v>
      </c>
      <c r="R5">
        <f t="shared" si="3"/>
        <v>7</v>
      </c>
      <c r="S5">
        <f>IF(V5="","",COUNTIFS($T$4:$T$74,T5,$Y$4:$Y$74,"&gt;"&amp;Y5)+1)</f>
        <v>7</v>
      </c>
      <c r="T5" t="str">
        <f>IF(V5="","",IFERROR(VLOOKUP(TRIM($V5),KEY!$B$2:$F$72,2,FALSE),""))</f>
        <v>Honda</v>
      </c>
      <c r="V5" s="78" t="s">
        <v>147</v>
      </c>
      <c r="W5" s="78">
        <v>22</v>
      </c>
      <c r="X5" s="78">
        <v>5</v>
      </c>
      <c r="Y5" s="78">
        <v>23</v>
      </c>
      <c r="Z5" s="78">
        <v>0</v>
      </c>
      <c r="AA5" s="78">
        <v>5</v>
      </c>
      <c r="AB5" s="78">
        <v>1</v>
      </c>
      <c r="AC5" s="78">
        <v>5</v>
      </c>
      <c r="AD5" s="78">
        <v>11</v>
      </c>
      <c r="AE5" s="78">
        <v>50</v>
      </c>
      <c r="AF5" s="78">
        <v>0</v>
      </c>
      <c r="AG5" s="78">
        <v>1</v>
      </c>
      <c r="AH5" s="78">
        <v>4</v>
      </c>
      <c r="AI5" s="78">
        <v>23</v>
      </c>
      <c r="AJ5" s="78">
        <v>4</v>
      </c>
      <c r="AK5" s="78">
        <v>2</v>
      </c>
      <c r="AL5" s="78">
        <v>0</v>
      </c>
      <c r="AM5" s="78">
        <v>27</v>
      </c>
    </row>
    <row r="6" spans="1:39" x14ac:dyDescent="0.35">
      <c r="B6" t="str">
        <f t="shared" si="5"/>
        <v>Arizona-3</v>
      </c>
      <c r="C6" t="str">
        <f t="shared" si="6"/>
        <v>Dec 2025-Arizona-3</v>
      </c>
      <c r="D6">
        <f t="shared" si="0"/>
        <v>3</v>
      </c>
      <c r="E6">
        <f t="shared" si="7"/>
        <v>2.08</v>
      </c>
      <c r="F6">
        <f t="shared" si="8"/>
        <v>8</v>
      </c>
      <c r="G6">
        <f t="shared" si="9"/>
        <v>2</v>
      </c>
      <c r="H6" t="str">
        <f>IF(V6="","",IFERROR(VLOOKUP(TRIM($V6),KEY!$B$2:$F$72,3,FALSE),""))</f>
        <v>Arizona</v>
      </c>
      <c r="I6" t="str">
        <f t="shared" si="10"/>
        <v>WEST-8</v>
      </c>
      <c r="J6" t="str">
        <f t="shared" si="11"/>
        <v>Dec 2025-WEST-8</v>
      </c>
      <c r="K6">
        <f t="shared" si="1"/>
        <v>8</v>
      </c>
      <c r="L6">
        <f t="shared" si="12"/>
        <v>5.31</v>
      </c>
      <c r="M6">
        <f>IF(V6="","",IFERROR(VLOOKUP(TRIM($V6),KEY!$B$2:$F$72,5,FALSE),""))</f>
        <v>31</v>
      </c>
      <c r="N6">
        <f t="shared" si="2"/>
        <v>5</v>
      </c>
      <c r="O6" t="str">
        <f t="shared" si="13"/>
        <v>Lexus-3</v>
      </c>
      <c r="P6">
        <f t="shared" si="14"/>
        <v>3</v>
      </c>
      <c r="Q6">
        <f t="shared" si="15"/>
        <v>2.02</v>
      </c>
      <c r="R6">
        <f t="shared" si="3"/>
        <v>2</v>
      </c>
      <c r="S6">
        <f t="shared" si="4"/>
        <v>2</v>
      </c>
      <c r="T6" t="str">
        <f>IF(V6="","",IFERROR(VLOOKUP(TRIM($V6),KEY!$B$2:$F$72,2,FALSE),""))</f>
        <v>Lexus</v>
      </c>
      <c r="V6" s="78" t="s">
        <v>148</v>
      </c>
      <c r="W6" s="78">
        <v>2</v>
      </c>
      <c r="X6" s="78">
        <v>1</v>
      </c>
      <c r="Y6" s="78">
        <v>50</v>
      </c>
      <c r="Z6" s="78">
        <v>0</v>
      </c>
      <c r="AA6" s="78">
        <v>1</v>
      </c>
      <c r="AB6" s="78">
        <v>0</v>
      </c>
      <c r="AC6" s="78">
        <v>0</v>
      </c>
      <c r="AD6" s="78">
        <v>1</v>
      </c>
      <c r="AE6" s="78">
        <v>50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1</v>
      </c>
      <c r="AL6" s="78">
        <v>0</v>
      </c>
      <c r="AM6" s="78">
        <v>50</v>
      </c>
    </row>
    <row r="7" spans="1:39" x14ac:dyDescent="0.35">
      <c r="B7" t="str">
        <f t="shared" si="5"/>
        <v>Arizona-1</v>
      </c>
      <c r="C7" t="str">
        <f t="shared" si="6"/>
        <v>Dec 2025-Arizona-1</v>
      </c>
      <c r="D7">
        <f t="shared" si="0"/>
        <v>1</v>
      </c>
      <c r="E7">
        <f t="shared" si="7"/>
        <v>1.1499999999999999</v>
      </c>
      <c r="F7">
        <f t="shared" si="8"/>
        <v>15</v>
      </c>
      <c r="G7">
        <f t="shared" si="9"/>
        <v>1</v>
      </c>
      <c r="H7" t="str">
        <f>IF(V7="","",IFERROR(VLOOKUP(TRIM($V7),KEY!$B$2:$F$72,3,FALSE),""))</f>
        <v>Arizona</v>
      </c>
      <c r="I7" t="str">
        <f t="shared" si="10"/>
        <v>WEST-1</v>
      </c>
      <c r="J7" t="str">
        <f t="shared" si="11"/>
        <v>Dec 2025-WEST-1</v>
      </c>
      <c r="K7">
        <f t="shared" si="1"/>
        <v>1</v>
      </c>
      <c r="L7">
        <f t="shared" si="12"/>
        <v>1.6</v>
      </c>
      <c r="M7">
        <f>IF(V7="","",IFERROR(VLOOKUP(TRIM($V7),KEY!$B$2:$F$72,5,FALSE),""))</f>
        <v>60</v>
      </c>
      <c r="N7">
        <f t="shared" si="2"/>
        <v>1</v>
      </c>
      <c r="O7" t="str">
        <f t="shared" si="13"/>
        <v>Toyota-1</v>
      </c>
      <c r="P7">
        <f t="shared" si="14"/>
        <v>1</v>
      </c>
      <c r="Q7">
        <f t="shared" si="15"/>
        <v>1.05</v>
      </c>
      <c r="R7">
        <f t="shared" si="3"/>
        <v>5</v>
      </c>
      <c r="S7">
        <f t="shared" si="4"/>
        <v>1</v>
      </c>
      <c r="T7" t="str">
        <f>IF(V7="","",IFERROR(VLOOKUP(TRIM($V7),KEY!$B$2:$F$72,2,FALSE),""))</f>
        <v>Toyota</v>
      </c>
      <c r="V7" s="78" t="s">
        <v>149</v>
      </c>
      <c r="W7" s="78">
        <v>1</v>
      </c>
      <c r="X7" s="78">
        <v>1</v>
      </c>
      <c r="Y7" s="78">
        <v>100</v>
      </c>
      <c r="Z7" s="78">
        <v>0</v>
      </c>
      <c r="AA7" s="78">
        <v>1</v>
      </c>
      <c r="AB7" s="78">
        <v>0</v>
      </c>
      <c r="AC7" s="78">
        <v>0</v>
      </c>
      <c r="AD7" s="78">
        <v>1</v>
      </c>
      <c r="AE7" s="78">
        <v>100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8">
        <v>0</v>
      </c>
    </row>
    <row r="8" spans="1:39" x14ac:dyDescent="0.35">
      <c r="B8" t="str">
        <f t="shared" si="5"/>
        <v>Arizona-9</v>
      </c>
      <c r="C8" t="str">
        <f t="shared" si="6"/>
        <v>Dec 2025-Arizona-9</v>
      </c>
      <c r="D8">
        <f t="shared" si="0"/>
        <v>9</v>
      </c>
      <c r="E8">
        <f t="shared" si="7"/>
        <v>9.0500000000000007</v>
      </c>
      <c r="F8">
        <f t="shared" si="8"/>
        <v>5</v>
      </c>
      <c r="G8">
        <f t="shared" si="9"/>
        <v>9</v>
      </c>
      <c r="H8" t="str">
        <f>IF(V8="","",IFERROR(VLOOKUP(TRIM($V8),KEY!$B$2:$F$72,3,FALSE),""))</f>
        <v>Arizona</v>
      </c>
      <c r="I8" t="str">
        <f t="shared" si="10"/>
        <v>WEST-24</v>
      </c>
      <c r="J8" t="str">
        <f t="shared" si="11"/>
        <v>Dec 2025-WEST-24</v>
      </c>
      <c r="K8">
        <f t="shared" si="1"/>
        <v>24</v>
      </c>
      <c r="L8">
        <f t="shared" si="12"/>
        <v>24.11</v>
      </c>
      <c r="M8">
        <f>IF(V8="","",IFERROR(VLOOKUP(TRIM($V8),KEY!$B$2:$F$72,5,FALSE),""))</f>
        <v>11</v>
      </c>
      <c r="N8">
        <f t="shared" si="2"/>
        <v>24</v>
      </c>
      <c r="O8" t="str">
        <f t="shared" si="13"/>
        <v>BMW-7</v>
      </c>
      <c r="P8">
        <f t="shared" si="14"/>
        <v>7</v>
      </c>
      <c r="Q8">
        <f t="shared" si="15"/>
        <v>7.01</v>
      </c>
      <c r="R8">
        <f t="shared" si="3"/>
        <v>1</v>
      </c>
      <c r="S8">
        <f t="shared" si="4"/>
        <v>7</v>
      </c>
      <c r="T8" t="str">
        <f>IF(V8="","",IFERROR(VLOOKUP(TRIM($V8),KEY!$B$2:$F$72,2,FALSE),""))</f>
        <v>BMW</v>
      </c>
      <c r="V8" s="78" t="s">
        <v>150</v>
      </c>
      <c r="W8" s="78">
        <v>53</v>
      </c>
      <c r="X8" s="78">
        <v>20</v>
      </c>
      <c r="Y8" s="78">
        <v>38</v>
      </c>
      <c r="Z8" s="78">
        <v>5</v>
      </c>
      <c r="AA8" s="78">
        <v>20</v>
      </c>
      <c r="AB8" s="78">
        <v>7</v>
      </c>
      <c r="AC8" s="78">
        <v>9</v>
      </c>
      <c r="AD8" s="78">
        <v>41</v>
      </c>
      <c r="AE8" s="78">
        <v>77</v>
      </c>
      <c r="AF8" s="78">
        <v>0</v>
      </c>
      <c r="AG8" s="78">
        <v>0</v>
      </c>
      <c r="AH8" s="78">
        <v>0</v>
      </c>
      <c r="AI8" s="78">
        <v>0</v>
      </c>
      <c r="AJ8" s="78">
        <v>3</v>
      </c>
      <c r="AK8" s="78">
        <v>9</v>
      </c>
      <c r="AL8" s="78">
        <v>0</v>
      </c>
      <c r="AM8" s="78">
        <v>23</v>
      </c>
    </row>
    <row r="9" spans="1:39" x14ac:dyDescent="0.35">
      <c r="B9" t="str">
        <f t="shared" si="5"/>
        <v>Arizona-16</v>
      </c>
      <c r="C9" t="str">
        <f t="shared" si="6"/>
        <v>Dec 2025-Arizona-16</v>
      </c>
      <c r="D9">
        <f t="shared" si="0"/>
        <v>16</v>
      </c>
      <c r="E9">
        <f t="shared" si="7"/>
        <v>14.16</v>
      </c>
      <c r="F9">
        <f t="shared" si="8"/>
        <v>16</v>
      </c>
      <c r="G9">
        <f t="shared" si="9"/>
        <v>14</v>
      </c>
      <c r="H9" t="str">
        <f>IF(V9="","",IFERROR(VLOOKUP(TRIM($V9),KEY!$B$2:$F$72,3,FALSE),""))</f>
        <v>Arizona</v>
      </c>
      <c r="I9" t="str">
        <f t="shared" si="10"/>
        <v>WEST-56</v>
      </c>
      <c r="J9" t="str">
        <f t="shared" si="11"/>
        <v>Dec 2025-WEST-56</v>
      </c>
      <c r="K9">
        <f t="shared" si="1"/>
        <v>56</v>
      </c>
      <c r="L9">
        <f t="shared" si="12"/>
        <v>51.61</v>
      </c>
      <c r="M9">
        <f>IF(V9="","",IFERROR(VLOOKUP(TRIM($V9),KEY!$B$2:$F$72,5,FALSE),""))</f>
        <v>61</v>
      </c>
      <c r="N9">
        <f t="shared" si="2"/>
        <v>51</v>
      </c>
      <c r="O9" t="str">
        <f t="shared" si="13"/>
        <v>Volkswagen-2</v>
      </c>
      <c r="P9">
        <f t="shared" si="14"/>
        <v>2</v>
      </c>
      <c r="Q9">
        <f t="shared" si="15"/>
        <v>2.0099999999999998</v>
      </c>
      <c r="R9">
        <f t="shared" si="3"/>
        <v>1</v>
      </c>
      <c r="S9">
        <f t="shared" si="4"/>
        <v>2</v>
      </c>
      <c r="T9" t="str">
        <f>IF(V9="","",IFERROR(VLOOKUP(TRIM($V9),KEY!$B$2:$F$72,2,FALSE),""))</f>
        <v>Volkswagen</v>
      </c>
      <c r="V9" s="78" t="s">
        <v>151</v>
      </c>
      <c r="W9" s="78">
        <v>2</v>
      </c>
      <c r="X9" s="78">
        <v>0</v>
      </c>
      <c r="Y9" s="78">
        <v>0</v>
      </c>
      <c r="Z9" s="78">
        <v>1</v>
      </c>
      <c r="AA9" s="78">
        <v>0</v>
      </c>
      <c r="AB9" s="78">
        <v>1</v>
      </c>
      <c r="AC9" s="78">
        <v>0</v>
      </c>
      <c r="AD9" s="78">
        <v>2</v>
      </c>
      <c r="AE9" s="78">
        <v>100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8">
        <v>0</v>
      </c>
    </row>
    <row r="10" spans="1:39" x14ac:dyDescent="0.35">
      <c r="B10" t="str">
        <f t="shared" si="5"/>
        <v>Arizona-10</v>
      </c>
      <c r="C10" t="str">
        <f t="shared" si="6"/>
        <v>Dec 2025-Arizona-10</v>
      </c>
      <c r="D10">
        <f t="shared" si="0"/>
        <v>10</v>
      </c>
      <c r="E10">
        <f t="shared" si="7"/>
        <v>10.09</v>
      </c>
      <c r="F10">
        <f t="shared" si="8"/>
        <v>9</v>
      </c>
      <c r="G10">
        <f t="shared" si="9"/>
        <v>10</v>
      </c>
      <c r="H10" t="str">
        <f>IF(V10="","",IFERROR(VLOOKUP(TRIM($V10),KEY!$B$2:$F$72,3,FALSE),""))</f>
        <v>Arizona</v>
      </c>
      <c r="I10" t="str">
        <f t="shared" si="10"/>
        <v>WEST-26</v>
      </c>
      <c r="J10" t="str">
        <f t="shared" si="11"/>
        <v>Dec 2025-WEST-26</v>
      </c>
      <c r="K10">
        <f t="shared" si="1"/>
        <v>26</v>
      </c>
      <c r="L10">
        <f t="shared" si="12"/>
        <v>26.36</v>
      </c>
      <c r="M10">
        <f>IF(V10="","",IFERROR(VLOOKUP(TRIM($V10),KEY!$B$2:$F$72,5,FALSE),""))</f>
        <v>36</v>
      </c>
      <c r="N10">
        <f t="shared" si="2"/>
        <v>26</v>
      </c>
      <c r="O10" t="str">
        <f t="shared" si="13"/>
        <v>Mercedes-Benz-3</v>
      </c>
      <c r="P10">
        <f t="shared" si="14"/>
        <v>3</v>
      </c>
      <c r="Q10">
        <f t="shared" si="15"/>
        <v>3.01</v>
      </c>
      <c r="R10">
        <f t="shared" si="3"/>
        <v>1</v>
      </c>
      <c r="S10">
        <f t="shared" si="4"/>
        <v>3</v>
      </c>
      <c r="T10" t="str">
        <f>IF(V10="","",IFERROR(VLOOKUP(TRIM($V10),KEY!$B$2:$F$72,2,FALSE),""))</f>
        <v>Mercedes-Benz</v>
      </c>
      <c r="V10" s="78" t="s">
        <v>152</v>
      </c>
      <c r="W10" s="78">
        <v>3</v>
      </c>
      <c r="X10" s="78">
        <v>1</v>
      </c>
      <c r="Y10" s="78">
        <v>33</v>
      </c>
      <c r="Z10" s="78">
        <v>0</v>
      </c>
      <c r="AA10" s="78">
        <v>1</v>
      </c>
      <c r="AB10" s="78">
        <v>0</v>
      </c>
      <c r="AC10" s="78">
        <v>1</v>
      </c>
      <c r="AD10" s="78">
        <v>2</v>
      </c>
      <c r="AE10" s="78">
        <v>67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1</v>
      </c>
      <c r="AL10" s="78">
        <v>0</v>
      </c>
      <c r="AM10" s="78">
        <v>33</v>
      </c>
    </row>
    <row r="11" spans="1:39" x14ac:dyDescent="0.35">
      <c r="B11" t="str">
        <f t="shared" si="5"/>
        <v>Arizona-8</v>
      </c>
      <c r="C11" t="str">
        <f t="shared" si="6"/>
        <v>Dec 2025-Arizona-8</v>
      </c>
      <c r="D11">
        <f t="shared" si="0"/>
        <v>8</v>
      </c>
      <c r="E11">
        <f t="shared" si="7"/>
        <v>8.1</v>
      </c>
      <c r="F11">
        <f t="shared" si="8"/>
        <v>10</v>
      </c>
      <c r="G11">
        <f t="shared" si="9"/>
        <v>8</v>
      </c>
      <c r="H11" t="str">
        <f>IF(V11="","",IFERROR(VLOOKUP(TRIM($V11),KEY!$B$2:$F$72,3,FALSE),""))</f>
        <v>Arizona</v>
      </c>
      <c r="I11" t="str">
        <f t="shared" si="10"/>
        <v>WEST-19</v>
      </c>
      <c r="J11" t="str">
        <f t="shared" si="11"/>
        <v>Dec 2025-WEST-19</v>
      </c>
      <c r="K11">
        <f t="shared" si="1"/>
        <v>19</v>
      </c>
      <c r="L11">
        <f t="shared" si="12"/>
        <v>18.37</v>
      </c>
      <c r="M11">
        <f>IF(V11="","",IFERROR(VLOOKUP(TRIM($V11),KEY!$B$2:$F$72,5,FALSE),""))</f>
        <v>37</v>
      </c>
      <c r="N11">
        <f t="shared" si="2"/>
        <v>18</v>
      </c>
      <c r="O11" t="str">
        <f t="shared" si="13"/>
        <v>Mercedes-Benz-1</v>
      </c>
      <c r="P11">
        <f t="shared" si="14"/>
        <v>1</v>
      </c>
      <c r="Q11">
        <f t="shared" si="15"/>
        <v>1.02</v>
      </c>
      <c r="R11">
        <f t="shared" si="3"/>
        <v>2</v>
      </c>
      <c r="S11">
        <f t="shared" si="4"/>
        <v>1</v>
      </c>
      <c r="T11" t="str">
        <f>IF(V11="","",IFERROR(VLOOKUP(TRIM($V11),KEY!$B$2:$F$72,2,FALSE),""))</f>
        <v>Mercedes-Benz</v>
      </c>
      <c r="V11" s="78" t="s">
        <v>153</v>
      </c>
      <c r="W11" s="78">
        <v>16</v>
      </c>
      <c r="X11" s="78">
        <v>7</v>
      </c>
      <c r="Y11" s="78">
        <v>44</v>
      </c>
      <c r="Z11" s="78">
        <v>0</v>
      </c>
      <c r="AA11" s="78">
        <v>7</v>
      </c>
      <c r="AB11" s="78">
        <v>0</v>
      </c>
      <c r="AC11" s="78">
        <v>6</v>
      </c>
      <c r="AD11" s="78">
        <v>13</v>
      </c>
      <c r="AE11" s="78">
        <v>81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3</v>
      </c>
      <c r="AL11" s="78">
        <v>0</v>
      </c>
      <c r="AM11" s="78">
        <v>19</v>
      </c>
    </row>
    <row r="12" spans="1:39" x14ac:dyDescent="0.35">
      <c r="B12" t="str">
        <f t="shared" si="5"/>
        <v>Arizona-2</v>
      </c>
      <c r="C12" t="str">
        <f t="shared" si="6"/>
        <v>Dec 2025-Arizona-2</v>
      </c>
      <c r="D12">
        <f t="shared" si="0"/>
        <v>2</v>
      </c>
      <c r="E12">
        <f t="shared" si="7"/>
        <v>2.0699999999999998</v>
      </c>
      <c r="F12">
        <f t="shared" si="8"/>
        <v>7</v>
      </c>
      <c r="G12">
        <f t="shared" si="9"/>
        <v>2</v>
      </c>
      <c r="H12" t="str">
        <f>IF(V12="","",IFERROR(VLOOKUP(TRIM($V12),KEY!$B$2:$F$72,3,FALSE),""))</f>
        <v>Arizona</v>
      </c>
      <c r="I12" t="str">
        <f t="shared" si="10"/>
        <v>WEST-6</v>
      </c>
      <c r="J12" t="str">
        <f t="shared" si="11"/>
        <v>Dec 2025-WEST-6</v>
      </c>
      <c r="K12">
        <f t="shared" si="1"/>
        <v>6</v>
      </c>
      <c r="L12">
        <f t="shared" si="12"/>
        <v>5.29</v>
      </c>
      <c r="M12">
        <f>IF(V12="","",IFERROR(VLOOKUP(TRIM($V12),KEY!$B$2:$F$72,5,FALSE),""))</f>
        <v>29</v>
      </c>
      <c r="N12">
        <f t="shared" si="2"/>
        <v>5</v>
      </c>
      <c r="O12" t="str">
        <f t="shared" si="13"/>
        <v>LR-1</v>
      </c>
      <c r="P12">
        <f t="shared" si="14"/>
        <v>1</v>
      </c>
      <c r="Q12">
        <f t="shared" si="15"/>
        <v>1.02</v>
      </c>
      <c r="R12">
        <f t="shared" si="3"/>
        <v>2</v>
      </c>
      <c r="S12">
        <f t="shared" si="4"/>
        <v>1</v>
      </c>
      <c r="T12" t="str">
        <f>IF(V12="","",IFERROR(VLOOKUP(TRIM($V12),KEY!$B$2:$F$72,2,FALSE),""))</f>
        <v>LR</v>
      </c>
      <c r="V12" s="78" t="s">
        <v>154</v>
      </c>
      <c r="W12" s="78">
        <v>4</v>
      </c>
      <c r="X12" s="78">
        <v>2</v>
      </c>
      <c r="Y12" s="78">
        <v>50</v>
      </c>
      <c r="Z12" s="78">
        <v>0</v>
      </c>
      <c r="AA12" s="78">
        <v>2</v>
      </c>
      <c r="AB12" s="78">
        <v>1</v>
      </c>
      <c r="AC12" s="78">
        <v>0</v>
      </c>
      <c r="AD12" s="78">
        <v>3</v>
      </c>
      <c r="AE12" s="78">
        <v>75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1</v>
      </c>
      <c r="AL12" s="78">
        <v>0</v>
      </c>
      <c r="AM12" s="78">
        <v>25</v>
      </c>
    </row>
    <row r="13" spans="1:39" x14ac:dyDescent="0.35">
      <c r="B13" t="str">
        <f t="shared" si="5"/>
        <v>Arizona-15</v>
      </c>
      <c r="C13" t="str">
        <f t="shared" si="6"/>
        <v>Dec 2025-Arizona-15</v>
      </c>
      <c r="D13">
        <f t="shared" si="0"/>
        <v>15</v>
      </c>
      <c r="E13">
        <f t="shared" si="7"/>
        <v>14.06</v>
      </c>
      <c r="F13">
        <f t="shared" si="8"/>
        <v>6</v>
      </c>
      <c r="G13">
        <f t="shared" si="9"/>
        <v>14</v>
      </c>
      <c r="H13" t="str">
        <f>IF(V13="","",IFERROR(VLOOKUP(TRIM($V13),KEY!$B$2:$F$72,3,FALSE),""))</f>
        <v>Arizona</v>
      </c>
      <c r="I13" t="str">
        <f t="shared" si="10"/>
        <v>WEST-53</v>
      </c>
      <c r="J13" t="str">
        <f t="shared" si="11"/>
        <v>Dec 2025-WEST-53</v>
      </c>
      <c r="K13">
        <f t="shared" si="1"/>
        <v>53</v>
      </c>
      <c r="L13">
        <f t="shared" si="12"/>
        <v>51.28</v>
      </c>
      <c r="M13">
        <f>IF(V13="","",IFERROR(VLOOKUP(TRIM($V13),KEY!$B$2:$F$72,5,FALSE),""))</f>
        <v>28</v>
      </c>
      <c r="N13">
        <f t="shared" si="2"/>
        <v>51</v>
      </c>
      <c r="O13" t="str">
        <f t="shared" si="13"/>
        <v>LR-2</v>
      </c>
      <c r="P13">
        <f t="shared" si="14"/>
        <v>2</v>
      </c>
      <c r="Q13">
        <f t="shared" si="15"/>
        <v>2.0099999999999998</v>
      </c>
      <c r="R13">
        <f t="shared" si="3"/>
        <v>1</v>
      </c>
      <c r="S13">
        <f t="shared" si="4"/>
        <v>2</v>
      </c>
      <c r="T13" t="str">
        <f>IF(V13="","",IFERROR(VLOOKUP(TRIM($V13),KEY!$B$2:$F$72,2,FALSE),""))</f>
        <v>LR</v>
      </c>
      <c r="V13" s="78" t="s">
        <v>155</v>
      </c>
      <c r="W13" s="78">
        <v>1</v>
      </c>
      <c r="X13" s="78">
        <v>0</v>
      </c>
      <c r="Y13" s="78">
        <v>0</v>
      </c>
      <c r="Z13" s="78">
        <v>0</v>
      </c>
      <c r="AA13" s="78">
        <v>0</v>
      </c>
      <c r="AB13" s="78">
        <v>1</v>
      </c>
      <c r="AC13" s="78">
        <v>0</v>
      </c>
      <c r="AD13" s="78">
        <v>1</v>
      </c>
      <c r="AE13" s="78">
        <v>100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</row>
    <row r="14" spans="1:39" x14ac:dyDescent="0.35">
      <c r="B14" t="str">
        <f t="shared" si="5"/>
        <v>Arizona-14</v>
      </c>
      <c r="C14" t="str">
        <f t="shared" si="6"/>
        <v>Dec 2025-Arizona-14</v>
      </c>
      <c r="D14">
        <f t="shared" si="0"/>
        <v>14</v>
      </c>
      <c r="E14">
        <f t="shared" si="7"/>
        <v>14.04</v>
      </c>
      <c r="F14">
        <f t="shared" si="8"/>
        <v>4</v>
      </c>
      <c r="G14">
        <f t="shared" si="9"/>
        <v>14</v>
      </c>
      <c r="H14" t="str">
        <f>IF(V14="","",IFERROR(VLOOKUP(TRIM($V14),KEY!$B$2:$F$72,3,FALSE),""))</f>
        <v>Arizona</v>
      </c>
      <c r="I14" t="str">
        <f t="shared" si="10"/>
        <v>WEST-51</v>
      </c>
      <c r="J14" t="str">
        <f t="shared" si="11"/>
        <v>Dec 2025-WEST-51</v>
      </c>
      <c r="K14">
        <f t="shared" si="1"/>
        <v>51</v>
      </c>
      <c r="L14">
        <f t="shared" si="12"/>
        <v>51.09</v>
      </c>
      <c r="M14">
        <f>IF(V14="","",IFERROR(VLOOKUP(TRIM($V14),KEY!$B$2:$F$72,5,FALSE),""))</f>
        <v>9</v>
      </c>
      <c r="N14">
        <f t="shared" si="2"/>
        <v>51</v>
      </c>
      <c r="O14" t="str">
        <f t="shared" si="13"/>
        <v>Ultra-1</v>
      </c>
      <c r="P14">
        <f t="shared" si="14"/>
        <v>1</v>
      </c>
      <c r="Q14">
        <f t="shared" si="15"/>
        <v>1.01</v>
      </c>
      <c r="R14">
        <f t="shared" si="3"/>
        <v>1</v>
      </c>
      <c r="S14">
        <f t="shared" si="4"/>
        <v>1</v>
      </c>
      <c r="T14" t="str">
        <f>IF(V14="","",IFERROR(VLOOKUP(TRIM($V14),KEY!$B$2:$F$72,2,FALSE),""))</f>
        <v>Ultra</v>
      </c>
      <c r="V14" s="78" t="s">
        <v>156</v>
      </c>
      <c r="W14" s="78">
        <v>1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1</v>
      </c>
      <c r="AG14" s="78">
        <v>0</v>
      </c>
      <c r="AH14" s="78">
        <v>0</v>
      </c>
      <c r="AI14" s="78">
        <v>100</v>
      </c>
      <c r="AJ14" s="78">
        <v>0</v>
      </c>
      <c r="AK14" s="78">
        <v>0</v>
      </c>
      <c r="AL14" s="78">
        <v>0</v>
      </c>
      <c r="AM14" s="78">
        <v>0</v>
      </c>
    </row>
    <row r="15" spans="1:39" x14ac:dyDescent="0.35">
      <c r="B15" t="str">
        <f t="shared" si="5"/>
        <v>Arizona-13</v>
      </c>
      <c r="C15" t="str">
        <f t="shared" si="6"/>
        <v>Dec 2025-Arizona-13</v>
      </c>
      <c r="D15">
        <f t="shared" si="0"/>
        <v>13</v>
      </c>
      <c r="E15">
        <f t="shared" si="7"/>
        <v>13.03</v>
      </c>
      <c r="F15">
        <f t="shared" si="8"/>
        <v>3</v>
      </c>
      <c r="G15">
        <f t="shared" si="9"/>
        <v>13</v>
      </c>
      <c r="H15" t="str">
        <f>IF(V15="","",IFERROR(VLOOKUP(TRIM($V15),KEY!$B$2:$F$72,3,FALSE),""))</f>
        <v>Arizona</v>
      </c>
      <c r="I15" t="str">
        <f t="shared" si="10"/>
        <v>WEST-40</v>
      </c>
      <c r="J15" t="str">
        <f t="shared" si="11"/>
        <v>Dec 2025-WEST-40</v>
      </c>
      <c r="K15">
        <f t="shared" si="1"/>
        <v>40</v>
      </c>
      <c r="L15">
        <f t="shared" si="12"/>
        <v>40.06</v>
      </c>
      <c r="M15">
        <f>IF(V15="","",IFERROR(VLOOKUP(TRIM($V15),KEY!$B$2:$F$72,5,FALSE),""))</f>
        <v>6</v>
      </c>
      <c r="N15">
        <f t="shared" si="2"/>
        <v>40</v>
      </c>
      <c r="O15" t="str">
        <f t="shared" si="13"/>
        <v>Audi-6</v>
      </c>
      <c r="P15">
        <f t="shared" si="14"/>
        <v>6</v>
      </c>
      <c r="Q15">
        <f t="shared" si="15"/>
        <v>6.04</v>
      </c>
      <c r="R15">
        <f t="shared" si="3"/>
        <v>4</v>
      </c>
      <c r="S15">
        <f t="shared" si="4"/>
        <v>6</v>
      </c>
      <c r="T15" t="str">
        <f>IF(V15="","",IFERROR(VLOOKUP(TRIM($V15),KEY!$B$2:$F$72,2,FALSE),""))</f>
        <v>Audi</v>
      </c>
      <c r="V15" s="78" t="s">
        <v>157</v>
      </c>
      <c r="W15" s="78">
        <v>20</v>
      </c>
      <c r="X15" s="78">
        <v>4</v>
      </c>
      <c r="Y15" s="78">
        <v>20</v>
      </c>
      <c r="Z15" s="78">
        <v>0</v>
      </c>
      <c r="AA15" s="78">
        <v>4</v>
      </c>
      <c r="AB15" s="78">
        <v>2</v>
      </c>
      <c r="AC15" s="78">
        <v>2</v>
      </c>
      <c r="AD15" s="78">
        <v>8</v>
      </c>
      <c r="AE15" s="78">
        <v>40</v>
      </c>
      <c r="AF15" s="78">
        <v>6</v>
      </c>
      <c r="AG15" s="78">
        <v>1</v>
      </c>
      <c r="AH15" s="78">
        <v>0</v>
      </c>
      <c r="AI15" s="78">
        <v>35</v>
      </c>
      <c r="AJ15" s="78">
        <v>1</v>
      </c>
      <c r="AK15" s="78">
        <v>4</v>
      </c>
      <c r="AL15" s="78">
        <v>0</v>
      </c>
      <c r="AM15" s="78">
        <v>25</v>
      </c>
    </row>
    <row r="16" spans="1:39" x14ac:dyDescent="0.35">
      <c r="B16" t="str">
        <f t="shared" si="5"/>
        <v>Arizona-11</v>
      </c>
      <c r="C16" t="str">
        <f t="shared" si="6"/>
        <v>Dec 2025-Arizona-11</v>
      </c>
      <c r="D16">
        <f t="shared" si="0"/>
        <v>11</v>
      </c>
      <c r="E16">
        <f t="shared" si="7"/>
        <v>11.02</v>
      </c>
      <c r="F16">
        <f t="shared" si="8"/>
        <v>2</v>
      </c>
      <c r="G16">
        <f t="shared" si="9"/>
        <v>11</v>
      </c>
      <c r="H16" t="str">
        <f>IF(V16="","",IFERROR(VLOOKUP(TRIM($V16),KEY!$B$2:$F$72,3,FALSE),""))</f>
        <v>Arizona</v>
      </c>
      <c r="I16" t="str">
        <f t="shared" si="10"/>
        <v>WEST-32</v>
      </c>
      <c r="J16" t="str">
        <f t="shared" si="11"/>
        <v>Dec 2025-WEST-32</v>
      </c>
      <c r="K16">
        <f t="shared" si="1"/>
        <v>32</v>
      </c>
      <c r="L16">
        <f t="shared" si="12"/>
        <v>32.03</v>
      </c>
      <c r="M16">
        <f>IF(V16="","",IFERROR(VLOOKUP(TRIM($V16),KEY!$B$2:$F$72,5,FALSE),""))</f>
        <v>3</v>
      </c>
      <c r="N16">
        <f t="shared" si="2"/>
        <v>32</v>
      </c>
      <c r="O16" t="str">
        <f t="shared" si="13"/>
        <v>Audi-3</v>
      </c>
      <c r="P16">
        <f t="shared" si="14"/>
        <v>3</v>
      </c>
      <c r="Q16">
        <f t="shared" si="15"/>
        <v>3.01</v>
      </c>
      <c r="R16">
        <f t="shared" si="3"/>
        <v>1</v>
      </c>
      <c r="S16">
        <f t="shared" si="4"/>
        <v>3</v>
      </c>
      <c r="T16" t="str">
        <f>IF(V16="","",IFERROR(VLOOKUP(TRIM($V16),KEY!$B$2:$F$72,2,FALSE),""))</f>
        <v>Audi</v>
      </c>
      <c r="V16" s="78" t="s">
        <v>158</v>
      </c>
      <c r="W16" s="78">
        <v>7</v>
      </c>
      <c r="X16" s="78">
        <v>2</v>
      </c>
      <c r="Y16" s="78">
        <v>29</v>
      </c>
      <c r="Z16" s="78">
        <v>1</v>
      </c>
      <c r="AA16" s="78">
        <v>2</v>
      </c>
      <c r="AB16" s="78">
        <v>0</v>
      </c>
      <c r="AC16" s="78">
        <v>1</v>
      </c>
      <c r="AD16" s="78">
        <v>4</v>
      </c>
      <c r="AE16" s="78">
        <v>57</v>
      </c>
      <c r="AF16" s="78">
        <v>0</v>
      </c>
      <c r="AG16" s="78">
        <v>0</v>
      </c>
      <c r="AH16" s="78">
        <v>0</v>
      </c>
      <c r="AI16" s="78">
        <v>0</v>
      </c>
      <c r="AJ16" s="78">
        <v>2</v>
      </c>
      <c r="AK16" s="78">
        <v>1</v>
      </c>
      <c r="AL16" s="78">
        <v>0</v>
      </c>
      <c r="AM16" s="78">
        <v>43</v>
      </c>
    </row>
    <row r="17" spans="2:39" x14ac:dyDescent="0.35">
      <c r="B17" t="str">
        <f t="shared" si="5"/>
        <v>Arizona-5</v>
      </c>
      <c r="C17" t="str">
        <f t="shared" si="6"/>
        <v>Dec 2025-Arizona-5</v>
      </c>
      <c r="D17">
        <f t="shared" si="0"/>
        <v>5</v>
      </c>
      <c r="E17">
        <f t="shared" si="7"/>
        <v>2.12</v>
      </c>
      <c r="F17">
        <f t="shared" si="8"/>
        <v>12</v>
      </c>
      <c r="G17">
        <f t="shared" si="9"/>
        <v>2</v>
      </c>
      <c r="H17" t="str">
        <f>IF(V17="","",IFERROR(VLOOKUP(TRIM($V17),KEY!$B$2:$F$72,3,FALSE),""))</f>
        <v>Arizona</v>
      </c>
      <c r="I17" t="str">
        <f t="shared" si="10"/>
        <v>WEST-11</v>
      </c>
      <c r="J17" t="str">
        <f t="shared" si="11"/>
        <v>Dec 2025-WEST-11</v>
      </c>
      <c r="K17">
        <f t="shared" si="1"/>
        <v>11</v>
      </c>
      <c r="L17">
        <f t="shared" si="12"/>
        <v>5.44</v>
      </c>
      <c r="M17">
        <f>IF(V17="","",IFERROR(VLOOKUP(TRIM($V17),KEY!$B$2:$F$72,5,FALSE),""))</f>
        <v>44</v>
      </c>
      <c r="N17">
        <f t="shared" si="2"/>
        <v>5</v>
      </c>
      <c r="O17" t="str">
        <f t="shared" si="13"/>
        <v>MINI-2</v>
      </c>
      <c r="P17">
        <f t="shared" si="14"/>
        <v>2</v>
      </c>
      <c r="Q17">
        <f t="shared" si="15"/>
        <v>1.06</v>
      </c>
      <c r="R17">
        <f t="shared" si="3"/>
        <v>6</v>
      </c>
      <c r="S17">
        <f t="shared" si="4"/>
        <v>1</v>
      </c>
      <c r="T17" t="str">
        <f>IF(V17="","",IFERROR(VLOOKUP(TRIM($V17),KEY!$B$2:$F$72,2,FALSE),""))</f>
        <v>MINI</v>
      </c>
      <c r="V17" s="78" t="s">
        <v>159</v>
      </c>
      <c r="W17" s="78">
        <v>2</v>
      </c>
      <c r="X17" s="78">
        <v>1</v>
      </c>
      <c r="Y17" s="78">
        <v>50</v>
      </c>
      <c r="Z17" s="78">
        <v>0</v>
      </c>
      <c r="AA17" s="78">
        <v>1</v>
      </c>
      <c r="AB17" s="78">
        <v>0</v>
      </c>
      <c r="AC17" s="78">
        <v>0</v>
      </c>
      <c r="AD17" s="78">
        <v>1</v>
      </c>
      <c r="AE17" s="78">
        <v>50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1</v>
      </c>
      <c r="AL17" s="78">
        <v>0</v>
      </c>
      <c r="AM17" s="78">
        <v>50</v>
      </c>
    </row>
    <row r="18" spans="2:39" x14ac:dyDescent="0.35">
      <c r="B18" t="str">
        <f t="shared" si="5"/>
        <v>Arizona-4</v>
      </c>
      <c r="C18" t="str">
        <f t="shared" si="6"/>
        <v>Dec 2025-Arizona-4</v>
      </c>
      <c r="D18">
        <f t="shared" si="0"/>
        <v>4</v>
      </c>
      <c r="E18">
        <f t="shared" si="7"/>
        <v>2.11</v>
      </c>
      <c r="F18">
        <f t="shared" si="8"/>
        <v>11</v>
      </c>
      <c r="G18">
        <f t="shared" si="9"/>
        <v>2</v>
      </c>
      <c r="H18" t="str">
        <f>IF(V18="","",IFERROR(VLOOKUP(TRIM($V18),KEY!$B$2:$F$72,3,FALSE),""))</f>
        <v>Arizona</v>
      </c>
      <c r="I18" t="str">
        <f t="shared" si="10"/>
        <v>WEST-10</v>
      </c>
      <c r="J18" t="str">
        <f t="shared" si="11"/>
        <v>Dec 2025-WEST-10</v>
      </c>
      <c r="K18">
        <f t="shared" si="1"/>
        <v>10</v>
      </c>
      <c r="L18">
        <f t="shared" si="12"/>
        <v>5.39</v>
      </c>
      <c r="M18">
        <f>IF(V18="","",IFERROR(VLOOKUP(TRIM($V18),KEY!$B$2:$F$72,5,FALSE),""))</f>
        <v>39</v>
      </c>
      <c r="N18">
        <f t="shared" si="2"/>
        <v>5</v>
      </c>
      <c r="O18" t="str">
        <f t="shared" si="13"/>
        <v>MINI-1</v>
      </c>
      <c r="P18">
        <f t="shared" si="14"/>
        <v>1</v>
      </c>
      <c r="Q18">
        <f t="shared" si="15"/>
        <v>1.02</v>
      </c>
      <c r="R18">
        <f t="shared" si="3"/>
        <v>2</v>
      </c>
      <c r="S18">
        <f t="shared" si="4"/>
        <v>1</v>
      </c>
      <c r="T18" t="str">
        <f>IF(V18="","",IFERROR(VLOOKUP(TRIM($V18),KEY!$B$2:$F$72,2,FALSE),""))</f>
        <v>MINI</v>
      </c>
      <c r="V18" s="78" t="s">
        <v>160</v>
      </c>
      <c r="W18" s="78">
        <v>2</v>
      </c>
      <c r="X18" s="78">
        <v>1</v>
      </c>
      <c r="Y18" s="78">
        <v>50</v>
      </c>
      <c r="Z18" s="78">
        <v>0</v>
      </c>
      <c r="AA18" s="78">
        <v>1</v>
      </c>
      <c r="AB18" s="78">
        <v>0</v>
      </c>
      <c r="AC18" s="78">
        <v>0</v>
      </c>
      <c r="AD18" s="78">
        <v>1</v>
      </c>
      <c r="AE18" s="78">
        <v>50</v>
      </c>
      <c r="AF18" s="78">
        <v>1</v>
      </c>
      <c r="AG18" s="78">
        <v>0</v>
      </c>
      <c r="AH18" s="78">
        <v>0</v>
      </c>
      <c r="AI18" s="78">
        <v>50</v>
      </c>
      <c r="AJ18" s="78">
        <v>0</v>
      </c>
      <c r="AK18" s="78">
        <v>0</v>
      </c>
      <c r="AL18" s="78">
        <v>0</v>
      </c>
      <c r="AM18" s="78">
        <v>0</v>
      </c>
    </row>
    <row r="19" spans="2:39" x14ac:dyDescent="0.35">
      <c r="B19" t="str">
        <f t="shared" si="5"/>
        <v>Arizona-6</v>
      </c>
      <c r="C19" t="str">
        <f t="shared" si="6"/>
        <v>Dec 2025-Arizona-6</v>
      </c>
      <c r="D19">
        <f t="shared" si="0"/>
        <v>6</v>
      </c>
      <c r="E19">
        <f t="shared" si="7"/>
        <v>2.13</v>
      </c>
      <c r="F19">
        <f t="shared" si="8"/>
        <v>13</v>
      </c>
      <c r="G19">
        <f t="shared" si="9"/>
        <v>2</v>
      </c>
      <c r="H19" t="str">
        <f>IF(V19="","",IFERROR(VLOOKUP(TRIM($V19),KEY!$B$2:$F$72,3,FALSE),""))</f>
        <v>Arizona</v>
      </c>
      <c r="I19" t="str">
        <f t="shared" si="10"/>
        <v>WEST-12</v>
      </c>
      <c r="J19" t="str">
        <f t="shared" si="11"/>
        <v>Dec 2025-WEST-12</v>
      </c>
      <c r="K19">
        <f t="shared" si="1"/>
        <v>12</v>
      </c>
      <c r="L19">
        <f t="shared" si="12"/>
        <v>5.5</v>
      </c>
      <c r="M19">
        <f>IF(V19="","",IFERROR(VLOOKUP(TRIM($V19),KEY!$B$2:$F$72,5,FALSE),""))</f>
        <v>50</v>
      </c>
      <c r="N19">
        <f t="shared" si="2"/>
        <v>5</v>
      </c>
      <c r="O19" t="str">
        <f t="shared" si="13"/>
        <v>Porsche-1</v>
      </c>
      <c r="P19">
        <f t="shared" si="14"/>
        <v>1</v>
      </c>
      <c r="Q19">
        <f t="shared" si="15"/>
        <v>1.01</v>
      </c>
      <c r="R19">
        <f t="shared" si="3"/>
        <v>1</v>
      </c>
      <c r="S19">
        <f t="shared" si="4"/>
        <v>1</v>
      </c>
      <c r="T19" t="str">
        <f>IF(V19="","",IFERROR(VLOOKUP(TRIM($V19),KEY!$B$2:$F$72,2,FALSE),""))</f>
        <v>Porsche</v>
      </c>
      <c r="V19" s="78" t="s">
        <v>161</v>
      </c>
      <c r="W19" s="78">
        <v>4</v>
      </c>
      <c r="X19" s="78">
        <v>2</v>
      </c>
      <c r="Y19" s="78">
        <v>50</v>
      </c>
      <c r="Z19" s="78">
        <v>0</v>
      </c>
      <c r="AA19" s="78">
        <v>2</v>
      </c>
      <c r="AB19" s="78">
        <v>0</v>
      </c>
      <c r="AC19" s="78">
        <v>1</v>
      </c>
      <c r="AD19" s="78">
        <v>3</v>
      </c>
      <c r="AE19" s="78">
        <v>75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1</v>
      </c>
      <c r="AL19" s="78">
        <v>0</v>
      </c>
      <c r="AM19" s="78">
        <v>25</v>
      </c>
    </row>
    <row r="20" spans="2:39" x14ac:dyDescent="0.35">
      <c r="B20" t="str">
        <f t="shared" si="5"/>
        <v>Indiana-2</v>
      </c>
      <c r="C20" t="str">
        <f t="shared" si="6"/>
        <v>Dec 2025-Indiana-2</v>
      </c>
      <c r="D20">
        <f t="shared" si="0"/>
        <v>2</v>
      </c>
      <c r="E20">
        <f t="shared" si="7"/>
        <v>2.02</v>
      </c>
      <c r="F20">
        <f t="shared" si="8"/>
        <v>2</v>
      </c>
      <c r="G20">
        <f t="shared" si="9"/>
        <v>2</v>
      </c>
      <c r="H20" t="str">
        <f>IF(V20="","",IFERROR(VLOOKUP(TRIM($V20),KEY!$B$2:$F$72,3,FALSE),""))</f>
        <v>Indiana</v>
      </c>
      <c r="I20" t="str">
        <f t="shared" si="10"/>
        <v>WEST-21</v>
      </c>
      <c r="J20" t="str">
        <f t="shared" si="11"/>
        <v>Dec 2025-WEST-21</v>
      </c>
      <c r="K20">
        <f t="shared" si="1"/>
        <v>21</v>
      </c>
      <c r="L20">
        <f t="shared" si="12"/>
        <v>21.48</v>
      </c>
      <c r="M20">
        <f>IF(V20="","",IFERROR(VLOOKUP(TRIM($V20),KEY!$B$2:$F$72,5,FALSE),""))</f>
        <v>48</v>
      </c>
      <c r="N20">
        <f t="shared" si="2"/>
        <v>21</v>
      </c>
      <c r="O20" t="str">
        <f t="shared" si="13"/>
        <v>Honda-2</v>
      </c>
      <c r="P20">
        <f t="shared" si="14"/>
        <v>2</v>
      </c>
      <c r="Q20">
        <f t="shared" si="15"/>
        <v>2.0499999999999998</v>
      </c>
      <c r="R20">
        <f t="shared" si="3"/>
        <v>5</v>
      </c>
      <c r="S20">
        <f t="shared" si="4"/>
        <v>2</v>
      </c>
      <c r="T20" t="str">
        <f>IF(V20="","",IFERROR(VLOOKUP(TRIM($V20),KEY!$B$2:$F$72,2,FALSE),""))</f>
        <v>Honda</v>
      </c>
      <c r="V20" s="78" t="s">
        <v>162</v>
      </c>
      <c r="W20" s="78">
        <v>70</v>
      </c>
      <c r="X20" s="78">
        <v>29</v>
      </c>
      <c r="Y20" s="78">
        <v>41</v>
      </c>
      <c r="Z20" s="78">
        <v>1</v>
      </c>
      <c r="AA20" s="78">
        <v>29</v>
      </c>
      <c r="AB20" s="78">
        <v>8</v>
      </c>
      <c r="AC20" s="78">
        <v>6</v>
      </c>
      <c r="AD20" s="78">
        <v>44</v>
      </c>
      <c r="AE20" s="78">
        <v>63</v>
      </c>
      <c r="AF20" s="78">
        <v>0</v>
      </c>
      <c r="AG20" s="78">
        <v>2</v>
      </c>
      <c r="AH20" s="78">
        <v>0</v>
      </c>
      <c r="AI20" s="78">
        <v>3</v>
      </c>
      <c r="AJ20" s="78">
        <v>0</v>
      </c>
      <c r="AK20" s="78">
        <v>24</v>
      </c>
      <c r="AL20" s="78">
        <v>0</v>
      </c>
      <c r="AM20" s="78">
        <v>34</v>
      </c>
    </row>
    <row r="21" spans="2:39" x14ac:dyDescent="0.35">
      <c r="B21" t="str">
        <f t="shared" si="5"/>
        <v>Indiana-1</v>
      </c>
      <c r="C21" t="str">
        <f t="shared" si="6"/>
        <v>Dec 2025-Indiana-1</v>
      </c>
      <c r="D21">
        <f t="shared" si="0"/>
        <v>1</v>
      </c>
      <c r="E21">
        <f t="shared" si="7"/>
        <v>1.01</v>
      </c>
      <c r="F21">
        <f t="shared" si="8"/>
        <v>1</v>
      </c>
      <c r="G21">
        <f t="shared" si="9"/>
        <v>1</v>
      </c>
      <c r="H21" t="str">
        <f>IF(V21="","",IFERROR(VLOOKUP(TRIM($V21),KEY!$B$2:$F$72,3,FALSE),""))</f>
        <v>Indiana</v>
      </c>
      <c r="I21" t="str">
        <f t="shared" si="10"/>
        <v>WEST-17</v>
      </c>
      <c r="J21" t="str">
        <f t="shared" si="11"/>
        <v>Dec 2025-WEST-17</v>
      </c>
      <c r="K21">
        <f t="shared" si="1"/>
        <v>17</v>
      </c>
      <c r="L21">
        <f t="shared" si="12"/>
        <v>15.47</v>
      </c>
      <c r="M21">
        <f>IF(V21="","",IFERROR(VLOOKUP(TRIM($V21),KEY!$B$2:$F$72,5,FALSE),""))</f>
        <v>47</v>
      </c>
      <c r="N21">
        <f t="shared" si="2"/>
        <v>15</v>
      </c>
      <c r="O21" t="str">
        <f t="shared" si="13"/>
        <v>Chevrolet-1</v>
      </c>
      <c r="P21">
        <f t="shared" si="14"/>
        <v>1</v>
      </c>
      <c r="Q21">
        <f t="shared" si="15"/>
        <v>1.01</v>
      </c>
      <c r="R21">
        <f t="shared" si="3"/>
        <v>1</v>
      </c>
      <c r="S21">
        <f t="shared" si="4"/>
        <v>1</v>
      </c>
      <c r="T21" t="str">
        <f>IF(V21="","",IFERROR(VLOOKUP(TRIM($V21),KEY!$B$2:$F$72,2,FALSE),""))</f>
        <v>Chevrolet</v>
      </c>
      <c r="V21" s="78" t="s">
        <v>163</v>
      </c>
      <c r="W21" s="78">
        <v>11</v>
      </c>
      <c r="X21" s="78">
        <v>5</v>
      </c>
      <c r="Y21" s="78">
        <v>45</v>
      </c>
      <c r="Z21" s="78">
        <v>0</v>
      </c>
      <c r="AA21" s="78">
        <v>5</v>
      </c>
      <c r="AB21" s="78">
        <v>0</v>
      </c>
      <c r="AC21" s="78">
        <v>1</v>
      </c>
      <c r="AD21" s="78">
        <v>6</v>
      </c>
      <c r="AE21" s="78">
        <v>55</v>
      </c>
      <c r="AF21" s="78">
        <v>3</v>
      </c>
      <c r="AG21" s="78">
        <v>0</v>
      </c>
      <c r="AH21" s="78">
        <v>0</v>
      </c>
      <c r="AI21" s="78">
        <v>27</v>
      </c>
      <c r="AJ21" s="78">
        <v>0</v>
      </c>
      <c r="AK21" s="78">
        <v>2</v>
      </c>
      <c r="AL21" s="78">
        <v>0</v>
      </c>
      <c r="AM21" s="78">
        <v>18</v>
      </c>
    </row>
    <row r="22" spans="2:39" x14ac:dyDescent="0.35">
      <c r="B22" t="str">
        <f t="shared" si="5"/>
        <v>Northern California-1</v>
      </c>
      <c r="C22" t="str">
        <f t="shared" si="6"/>
        <v>Dec 2025-Northern California-1</v>
      </c>
      <c r="D22">
        <f t="shared" si="0"/>
        <v>1</v>
      </c>
      <c r="E22">
        <f t="shared" si="7"/>
        <v>1.02</v>
      </c>
      <c r="F22">
        <f t="shared" si="8"/>
        <v>2</v>
      </c>
      <c r="G22">
        <f t="shared" si="9"/>
        <v>1</v>
      </c>
      <c r="H22" t="str">
        <f>IF(V22="","",IFERROR(VLOOKUP(TRIM($V22),KEY!$B$2:$F$72,3,FALSE),""))</f>
        <v>Northern California</v>
      </c>
      <c r="I22" t="str">
        <f t="shared" si="10"/>
        <v>WEST-18</v>
      </c>
      <c r="J22" t="str">
        <f t="shared" si="11"/>
        <v>Dec 2025-WEST-18</v>
      </c>
      <c r="K22">
        <f t="shared" si="1"/>
        <v>18</v>
      </c>
      <c r="L22">
        <f t="shared" si="12"/>
        <v>18.170000000000002</v>
      </c>
      <c r="M22">
        <f>IF(V22="","",IFERROR(VLOOKUP(TRIM($V22),KEY!$B$2:$F$72,5,FALSE),""))</f>
        <v>17</v>
      </c>
      <c r="N22">
        <f t="shared" si="2"/>
        <v>18</v>
      </c>
      <c r="O22" t="str">
        <f t="shared" si="13"/>
        <v>Acura-2</v>
      </c>
      <c r="P22">
        <f t="shared" si="14"/>
        <v>2</v>
      </c>
      <c r="Q22">
        <f t="shared" si="15"/>
        <v>2.0299999999999998</v>
      </c>
      <c r="R22">
        <f t="shared" si="3"/>
        <v>3</v>
      </c>
      <c r="S22">
        <f t="shared" si="4"/>
        <v>2</v>
      </c>
      <c r="T22" t="str">
        <f>IF(V22="","",IFERROR(VLOOKUP(TRIM($V22),KEY!$B$2:$F$72,2,FALSE),""))</f>
        <v>Acura</v>
      </c>
      <c r="V22" s="78" t="s">
        <v>164</v>
      </c>
      <c r="W22" s="78">
        <v>9</v>
      </c>
      <c r="X22" s="78">
        <v>4</v>
      </c>
      <c r="Y22" s="78">
        <v>44</v>
      </c>
      <c r="Z22" s="78">
        <v>0</v>
      </c>
      <c r="AA22" s="78">
        <v>4</v>
      </c>
      <c r="AB22" s="78">
        <v>0</v>
      </c>
      <c r="AC22" s="78">
        <v>4</v>
      </c>
      <c r="AD22" s="78">
        <v>8</v>
      </c>
      <c r="AE22" s="78">
        <v>89</v>
      </c>
      <c r="AF22" s="78">
        <v>0</v>
      </c>
      <c r="AG22" s="78">
        <v>0</v>
      </c>
      <c r="AH22" s="78">
        <v>0</v>
      </c>
      <c r="AI22" s="78">
        <v>0</v>
      </c>
      <c r="AJ22" s="78">
        <v>1</v>
      </c>
      <c r="AK22" s="78">
        <v>0</v>
      </c>
      <c r="AL22" s="78">
        <v>0</v>
      </c>
      <c r="AM22" s="78">
        <v>11</v>
      </c>
    </row>
    <row r="23" spans="2:39" x14ac:dyDescent="0.35">
      <c r="B23" t="str">
        <f t="shared" si="5"/>
        <v>Northern California-5</v>
      </c>
      <c r="C23" t="str">
        <f t="shared" si="6"/>
        <v>Dec 2025-Northern California-5</v>
      </c>
      <c r="D23">
        <f t="shared" si="0"/>
        <v>5</v>
      </c>
      <c r="E23">
        <f t="shared" si="7"/>
        <v>5.03</v>
      </c>
      <c r="F23">
        <f t="shared" si="8"/>
        <v>3</v>
      </c>
      <c r="G23">
        <f t="shared" si="9"/>
        <v>5</v>
      </c>
      <c r="H23" t="str">
        <f>IF(V23="","",IFERROR(VLOOKUP(TRIM($V23),KEY!$B$2:$F$72,3,FALSE),""))</f>
        <v>Northern California</v>
      </c>
      <c r="I23" t="str">
        <f t="shared" si="10"/>
        <v>WEST-36</v>
      </c>
      <c r="J23" t="str">
        <f t="shared" si="11"/>
        <v>Dec 2025-WEST-36</v>
      </c>
      <c r="K23">
        <f t="shared" si="1"/>
        <v>36</v>
      </c>
      <c r="L23">
        <f t="shared" si="12"/>
        <v>35.18</v>
      </c>
      <c r="M23">
        <f>IF(V23="","",IFERROR(VLOOKUP(TRIM($V23),KEY!$B$2:$F$72,5,FALSE),""))</f>
        <v>18</v>
      </c>
      <c r="N23">
        <f t="shared" si="2"/>
        <v>35</v>
      </c>
      <c r="O23" t="str">
        <f t="shared" si="13"/>
        <v>Honda-6</v>
      </c>
      <c r="P23">
        <f t="shared" si="14"/>
        <v>6</v>
      </c>
      <c r="Q23">
        <f t="shared" si="15"/>
        <v>6.01</v>
      </c>
      <c r="R23">
        <f t="shared" si="3"/>
        <v>1</v>
      </c>
      <c r="S23">
        <f t="shared" si="4"/>
        <v>6</v>
      </c>
      <c r="T23" t="str">
        <f>IF(V23="","",IFERROR(VLOOKUP(TRIM($V23),KEY!$B$2:$F$72,2,FALSE),""))</f>
        <v>Honda</v>
      </c>
      <c r="V23" s="78" t="s">
        <v>165</v>
      </c>
      <c r="W23" s="78">
        <v>21</v>
      </c>
      <c r="X23" s="78">
        <v>5</v>
      </c>
      <c r="Y23" s="78">
        <v>24</v>
      </c>
      <c r="Z23" s="78">
        <v>0</v>
      </c>
      <c r="AA23" s="78">
        <v>5</v>
      </c>
      <c r="AB23" s="78">
        <v>0</v>
      </c>
      <c r="AC23" s="78">
        <v>14</v>
      </c>
      <c r="AD23" s="78">
        <v>19</v>
      </c>
      <c r="AE23" s="78">
        <v>90</v>
      </c>
      <c r="AF23" s="78">
        <v>2</v>
      </c>
      <c r="AG23" s="78">
        <v>0</v>
      </c>
      <c r="AH23" s="78">
        <v>0</v>
      </c>
      <c r="AI23" s="78">
        <v>10</v>
      </c>
      <c r="AJ23" s="78">
        <v>0</v>
      </c>
      <c r="AK23" s="78">
        <v>0</v>
      </c>
      <c r="AL23" s="78">
        <v>0</v>
      </c>
      <c r="AM23" s="78">
        <v>0</v>
      </c>
    </row>
    <row r="24" spans="2:39" x14ac:dyDescent="0.35">
      <c r="B24" t="str">
        <f t="shared" si="5"/>
        <v>Northern California-3</v>
      </c>
      <c r="C24" t="str">
        <f t="shared" si="6"/>
        <v>Dec 2025-Northern California-3</v>
      </c>
      <c r="D24">
        <f t="shared" si="0"/>
        <v>3</v>
      </c>
      <c r="E24">
        <f t="shared" si="7"/>
        <v>3.04</v>
      </c>
      <c r="F24">
        <f t="shared" si="8"/>
        <v>4</v>
      </c>
      <c r="G24">
        <f t="shared" si="9"/>
        <v>3</v>
      </c>
      <c r="H24" t="str">
        <f>IF(V24="","",IFERROR(VLOOKUP(TRIM($V24),KEY!$B$2:$F$72,3,FALSE),""))</f>
        <v>Northern California</v>
      </c>
      <c r="I24" t="str">
        <f t="shared" si="10"/>
        <v>WEST-28</v>
      </c>
      <c r="J24" t="str">
        <f t="shared" si="11"/>
        <v>Dec 2025-WEST-28</v>
      </c>
      <c r="K24">
        <f t="shared" si="1"/>
        <v>28</v>
      </c>
      <c r="L24">
        <f t="shared" si="12"/>
        <v>28.24</v>
      </c>
      <c r="M24">
        <f>IF(V24="","",IFERROR(VLOOKUP(TRIM($V24),KEY!$B$2:$F$72,5,FALSE),""))</f>
        <v>24</v>
      </c>
      <c r="N24">
        <f t="shared" si="2"/>
        <v>28</v>
      </c>
      <c r="O24" t="str">
        <f t="shared" si="13"/>
        <v>Honda-4</v>
      </c>
      <c r="P24">
        <f t="shared" si="14"/>
        <v>4</v>
      </c>
      <c r="Q24">
        <f t="shared" si="15"/>
        <v>4.03</v>
      </c>
      <c r="R24">
        <f t="shared" si="3"/>
        <v>3</v>
      </c>
      <c r="S24">
        <f t="shared" si="4"/>
        <v>4</v>
      </c>
      <c r="T24" t="str">
        <f>IF(V24="","",IFERROR(VLOOKUP(TRIM($V24),KEY!$B$2:$F$72,2,FALSE),""))</f>
        <v>Honda</v>
      </c>
      <c r="V24" s="78" t="s">
        <v>166</v>
      </c>
      <c r="W24" s="78">
        <v>28</v>
      </c>
      <c r="X24" s="78">
        <v>9</v>
      </c>
      <c r="Y24" s="78">
        <v>32</v>
      </c>
      <c r="Z24" s="78">
        <v>1</v>
      </c>
      <c r="AA24" s="78">
        <v>9</v>
      </c>
      <c r="AB24" s="78">
        <v>2</v>
      </c>
      <c r="AC24" s="78">
        <v>9</v>
      </c>
      <c r="AD24" s="78">
        <v>21</v>
      </c>
      <c r="AE24" s="78">
        <v>75</v>
      </c>
      <c r="AF24" s="78">
        <v>0</v>
      </c>
      <c r="AG24" s="78">
        <v>0</v>
      </c>
      <c r="AH24" s="78">
        <v>0</v>
      </c>
      <c r="AI24" s="78">
        <v>0</v>
      </c>
      <c r="AJ24" s="78">
        <v>5</v>
      </c>
      <c r="AK24" s="78">
        <v>2</v>
      </c>
      <c r="AL24" s="78">
        <v>0</v>
      </c>
      <c r="AM24" s="78">
        <v>25</v>
      </c>
    </row>
    <row r="25" spans="2:39" x14ac:dyDescent="0.35">
      <c r="B25" t="str">
        <f t="shared" si="5"/>
        <v>Northern California-8</v>
      </c>
      <c r="C25" t="str">
        <f t="shared" si="6"/>
        <v>Dec 2025-Northern California-8</v>
      </c>
      <c r="D25">
        <f t="shared" si="0"/>
        <v>8</v>
      </c>
      <c r="E25">
        <f t="shared" si="7"/>
        <v>8.08</v>
      </c>
      <c r="F25">
        <f t="shared" si="8"/>
        <v>8</v>
      </c>
      <c r="G25">
        <f t="shared" si="9"/>
        <v>8</v>
      </c>
      <c r="H25" t="str">
        <f>IF(V25="","",IFERROR(VLOOKUP(TRIM($V25),KEY!$B$2:$F$72,3,FALSE),""))</f>
        <v>Northern California</v>
      </c>
      <c r="I25" t="str">
        <f t="shared" si="10"/>
        <v>WEST-55</v>
      </c>
      <c r="J25" t="str">
        <f t="shared" si="11"/>
        <v>Dec 2025-WEST-55</v>
      </c>
      <c r="K25">
        <f t="shared" si="1"/>
        <v>55</v>
      </c>
      <c r="L25">
        <f t="shared" si="12"/>
        <v>51.58</v>
      </c>
      <c r="M25">
        <f>IF(V25="","",IFERROR(VLOOKUP(TRIM($V25),KEY!$B$2:$F$72,5,FALSE),""))</f>
        <v>58</v>
      </c>
      <c r="N25">
        <f t="shared" si="2"/>
        <v>51</v>
      </c>
      <c r="O25" t="str">
        <f t="shared" si="13"/>
        <v>Toyota-5</v>
      </c>
      <c r="P25">
        <f t="shared" si="14"/>
        <v>5</v>
      </c>
      <c r="Q25">
        <f t="shared" si="15"/>
        <v>5.04</v>
      </c>
      <c r="R25">
        <f t="shared" si="3"/>
        <v>4</v>
      </c>
      <c r="S25">
        <f t="shared" si="4"/>
        <v>5</v>
      </c>
      <c r="T25" t="str">
        <f>IF(V25="","",IFERROR(VLOOKUP(TRIM($V25),KEY!$B$2:$F$72,2,FALSE),""))</f>
        <v>Toyota</v>
      </c>
      <c r="V25" s="78" t="s">
        <v>167</v>
      </c>
      <c r="W25" s="78">
        <v>3</v>
      </c>
      <c r="X25" s="78">
        <v>0</v>
      </c>
      <c r="Y25" s="78">
        <v>0</v>
      </c>
      <c r="Z25" s="78">
        <v>0</v>
      </c>
      <c r="AA25" s="78">
        <v>0</v>
      </c>
      <c r="AB25" s="78">
        <v>1</v>
      </c>
      <c r="AC25" s="78">
        <v>2</v>
      </c>
      <c r="AD25" s="78">
        <v>3</v>
      </c>
      <c r="AE25" s="78">
        <v>100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  <c r="AM25" s="78">
        <v>0</v>
      </c>
    </row>
    <row r="26" spans="2:39" x14ac:dyDescent="0.35">
      <c r="B26" t="str">
        <f t="shared" si="5"/>
        <v>Northern California-2</v>
      </c>
      <c r="C26" t="str">
        <f t="shared" si="6"/>
        <v>Dec 2025-Northern California-2</v>
      </c>
      <c r="D26">
        <f t="shared" si="0"/>
        <v>2</v>
      </c>
      <c r="E26">
        <f t="shared" si="7"/>
        <v>2.06</v>
      </c>
      <c r="F26">
        <f t="shared" si="8"/>
        <v>6</v>
      </c>
      <c r="G26">
        <f t="shared" si="9"/>
        <v>2</v>
      </c>
      <c r="H26" t="str">
        <f>IF(V26="","",IFERROR(VLOOKUP(TRIM($V26),KEY!$B$2:$F$72,3,FALSE),""))</f>
        <v>Northern California</v>
      </c>
      <c r="I26" t="str">
        <f t="shared" si="10"/>
        <v>WEST-22</v>
      </c>
      <c r="J26" t="str">
        <f t="shared" si="11"/>
        <v>Dec 2025-WEST-22</v>
      </c>
      <c r="K26">
        <f t="shared" si="1"/>
        <v>22</v>
      </c>
      <c r="L26">
        <f t="shared" si="12"/>
        <v>21.49</v>
      </c>
      <c r="M26">
        <f>IF(V26="","",IFERROR(VLOOKUP(TRIM($V26),KEY!$B$2:$F$72,5,FALSE),""))</f>
        <v>49</v>
      </c>
      <c r="N26">
        <f t="shared" si="2"/>
        <v>21</v>
      </c>
      <c r="O26" t="str">
        <f t="shared" si="13"/>
        <v>BMW-6</v>
      </c>
      <c r="P26">
        <f t="shared" si="14"/>
        <v>6</v>
      </c>
      <c r="Q26">
        <f t="shared" si="15"/>
        <v>6.09</v>
      </c>
      <c r="R26">
        <f t="shared" si="3"/>
        <v>9</v>
      </c>
      <c r="S26">
        <f t="shared" si="4"/>
        <v>6</v>
      </c>
      <c r="T26" t="str">
        <f>IF(V26="","",IFERROR(VLOOKUP(TRIM($V26),KEY!$B$2:$F$72,2,FALSE),""))</f>
        <v>BMW</v>
      </c>
      <c r="V26" s="78" t="s">
        <v>168</v>
      </c>
      <c r="W26" s="78">
        <v>74</v>
      </c>
      <c r="X26" s="78">
        <v>30</v>
      </c>
      <c r="Y26" s="78">
        <v>41</v>
      </c>
      <c r="Z26" s="78">
        <v>0</v>
      </c>
      <c r="AA26" s="78">
        <v>30</v>
      </c>
      <c r="AB26" s="78">
        <v>16</v>
      </c>
      <c r="AC26" s="78">
        <v>6</v>
      </c>
      <c r="AD26" s="78">
        <v>52</v>
      </c>
      <c r="AE26" s="78">
        <v>70</v>
      </c>
      <c r="AF26" s="78">
        <v>0</v>
      </c>
      <c r="AG26" s="78">
        <v>0</v>
      </c>
      <c r="AH26" s="78">
        <v>0</v>
      </c>
      <c r="AI26" s="78">
        <v>0</v>
      </c>
      <c r="AJ26" s="78">
        <v>19</v>
      </c>
      <c r="AK26" s="78">
        <v>3</v>
      </c>
      <c r="AL26" s="78">
        <v>0</v>
      </c>
      <c r="AM26" s="78">
        <v>30</v>
      </c>
    </row>
    <row r="27" spans="2:39" x14ac:dyDescent="0.35">
      <c r="B27" t="str">
        <f t="shared" si="5"/>
        <v>Northern California-6</v>
      </c>
      <c r="C27" t="str">
        <f t="shared" si="6"/>
        <v>Dec 2025-Northern California-6</v>
      </c>
      <c r="D27">
        <f t="shared" si="0"/>
        <v>6</v>
      </c>
      <c r="E27">
        <f t="shared" si="7"/>
        <v>6.01</v>
      </c>
      <c r="F27">
        <f t="shared" si="8"/>
        <v>1</v>
      </c>
      <c r="G27">
        <f t="shared" si="9"/>
        <v>6</v>
      </c>
      <c r="H27" t="str">
        <f>IF(V27="","",IFERROR(VLOOKUP(TRIM($V27),KEY!$B$2:$F$72,3,FALSE),""))</f>
        <v>Northern California</v>
      </c>
      <c r="I27" t="str">
        <f t="shared" si="10"/>
        <v>WEST-39</v>
      </c>
      <c r="J27" t="str">
        <f t="shared" si="11"/>
        <v>Dec 2025-WEST-39</v>
      </c>
      <c r="K27">
        <f t="shared" si="1"/>
        <v>39</v>
      </c>
      <c r="L27">
        <f t="shared" si="12"/>
        <v>39.07</v>
      </c>
      <c r="M27">
        <f>IF(V27="","",IFERROR(VLOOKUP(TRIM($V27),KEY!$B$2:$F$72,5,FALSE),""))</f>
        <v>7</v>
      </c>
      <c r="N27">
        <f t="shared" si="2"/>
        <v>39</v>
      </c>
      <c r="O27" t="str">
        <f t="shared" si="13"/>
        <v>Audi-5</v>
      </c>
      <c r="P27">
        <f t="shared" si="14"/>
        <v>5</v>
      </c>
      <c r="Q27">
        <f t="shared" si="15"/>
        <v>5.05</v>
      </c>
      <c r="R27">
        <f t="shared" si="3"/>
        <v>5</v>
      </c>
      <c r="S27">
        <f t="shared" si="4"/>
        <v>5</v>
      </c>
      <c r="T27" t="str">
        <f>IF(V27="","",IFERROR(VLOOKUP(TRIM($V27),KEY!$B$2:$F$72,2,FALSE),""))</f>
        <v>Audi</v>
      </c>
      <c r="V27" s="78" t="s">
        <v>169</v>
      </c>
      <c r="W27" s="78">
        <v>53</v>
      </c>
      <c r="X27" s="78">
        <v>11</v>
      </c>
      <c r="Y27" s="78">
        <v>21</v>
      </c>
      <c r="Z27" s="78">
        <v>0</v>
      </c>
      <c r="AA27" s="78">
        <v>11</v>
      </c>
      <c r="AB27" s="78">
        <v>12</v>
      </c>
      <c r="AC27" s="78">
        <v>2</v>
      </c>
      <c r="AD27" s="78">
        <v>25</v>
      </c>
      <c r="AE27" s="78">
        <v>47</v>
      </c>
      <c r="AF27" s="78">
        <v>0</v>
      </c>
      <c r="AG27" s="78">
        <v>0</v>
      </c>
      <c r="AH27" s="78">
        <v>0</v>
      </c>
      <c r="AI27" s="78">
        <v>0</v>
      </c>
      <c r="AJ27" s="78">
        <v>28</v>
      </c>
      <c r="AK27" s="78">
        <v>0</v>
      </c>
      <c r="AL27" s="78">
        <v>0</v>
      </c>
      <c r="AM27" s="78">
        <v>53</v>
      </c>
    </row>
    <row r="28" spans="2:39" x14ac:dyDescent="0.35">
      <c r="B28" t="str">
        <f t="shared" si="5"/>
        <v>Northern California-4</v>
      </c>
      <c r="C28" t="str">
        <f t="shared" si="6"/>
        <v>Dec 2025-Northern California-4</v>
      </c>
      <c r="D28">
        <f t="shared" si="0"/>
        <v>4</v>
      </c>
      <c r="E28">
        <f t="shared" si="7"/>
        <v>4.05</v>
      </c>
      <c r="F28">
        <f t="shared" si="8"/>
        <v>5</v>
      </c>
      <c r="G28">
        <f t="shared" si="9"/>
        <v>4</v>
      </c>
      <c r="H28" t="str">
        <f>IF(V28="","",IFERROR(VLOOKUP(TRIM($V28),KEY!$B$2:$F$72,3,FALSE),""))</f>
        <v>Northern California</v>
      </c>
      <c r="I28" t="str">
        <f t="shared" si="10"/>
        <v>WEST-31</v>
      </c>
      <c r="J28" t="str">
        <f t="shared" si="11"/>
        <v>Dec 2025-WEST-31</v>
      </c>
      <c r="K28">
        <f t="shared" si="1"/>
        <v>31</v>
      </c>
      <c r="L28">
        <f t="shared" si="12"/>
        <v>30.41</v>
      </c>
      <c r="M28">
        <f>IF(V28="","",IFERROR(VLOOKUP(TRIM($V28),KEY!$B$2:$F$72,5,FALSE),""))</f>
        <v>41</v>
      </c>
      <c r="N28">
        <f t="shared" si="2"/>
        <v>30</v>
      </c>
      <c r="O28" t="str">
        <f t="shared" si="13"/>
        <v>MINI-4</v>
      </c>
      <c r="P28">
        <f t="shared" si="14"/>
        <v>4</v>
      </c>
      <c r="Q28">
        <f t="shared" si="15"/>
        <v>4.04</v>
      </c>
      <c r="R28">
        <f t="shared" si="3"/>
        <v>4</v>
      </c>
      <c r="S28">
        <f t="shared" si="4"/>
        <v>4</v>
      </c>
      <c r="T28" t="str">
        <f>IF(V28="","",IFERROR(VLOOKUP(TRIM($V28),KEY!$B$2:$F$72,2,FALSE),""))</f>
        <v>MINI</v>
      </c>
      <c r="V28" s="78" t="s">
        <v>170</v>
      </c>
      <c r="W28" s="78">
        <v>10</v>
      </c>
      <c r="X28" s="78">
        <v>3</v>
      </c>
      <c r="Y28" s="78">
        <v>30</v>
      </c>
      <c r="Z28" s="78">
        <v>0</v>
      </c>
      <c r="AA28" s="78">
        <v>3</v>
      </c>
      <c r="AB28" s="78">
        <v>0</v>
      </c>
      <c r="AC28" s="78">
        <v>2</v>
      </c>
      <c r="AD28" s="78">
        <v>5</v>
      </c>
      <c r="AE28" s="78">
        <v>50</v>
      </c>
      <c r="AF28" s="78">
        <v>3</v>
      </c>
      <c r="AG28" s="78">
        <v>0</v>
      </c>
      <c r="AH28" s="78">
        <v>0</v>
      </c>
      <c r="AI28" s="78">
        <v>30</v>
      </c>
      <c r="AJ28" s="78">
        <v>1</v>
      </c>
      <c r="AK28" s="78">
        <v>1</v>
      </c>
      <c r="AL28" s="78">
        <v>0</v>
      </c>
      <c r="AM28" s="78">
        <v>20</v>
      </c>
    </row>
    <row r="29" spans="2:39" x14ac:dyDescent="0.35">
      <c r="B29" t="str">
        <f t="shared" si="5"/>
        <v>Northern California-7</v>
      </c>
      <c r="C29" t="str">
        <f t="shared" si="6"/>
        <v>Dec 2025-Northern California-7</v>
      </c>
      <c r="D29">
        <f t="shared" si="0"/>
        <v>7</v>
      </c>
      <c r="E29">
        <f t="shared" si="7"/>
        <v>7.07</v>
      </c>
      <c r="F29">
        <f t="shared" si="8"/>
        <v>7</v>
      </c>
      <c r="G29">
        <f t="shared" si="9"/>
        <v>7</v>
      </c>
      <c r="H29" t="str">
        <f>IF(V29="","",IFERROR(VLOOKUP(TRIM($V29),KEY!$B$2:$F$72,3,FALSE),""))</f>
        <v>Northern California</v>
      </c>
      <c r="I29" t="str">
        <f t="shared" si="10"/>
        <v>WEST-49</v>
      </c>
      <c r="J29" t="str">
        <f t="shared" si="11"/>
        <v>Dec 2025-WEST-49</v>
      </c>
      <c r="K29">
        <f t="shared" si="1"/>
        <v>49</v>
      </c>
      <c r="L29">
        <f t="shared" si="12"/>
        <v>48.51</v>
      </c>
      <c r="M29">
        <f>IF(V29="","",IFERROR(VLOOKUP(TRIM($V29),KEY!$B$2:$F$72,5,FALSE),""))</f>
        <v>51</v>
      </c>
      <c r="N29">
        <f t="shared" si="2"/>
        <v>48</v>
      </c>
      <c r="O29" t="str">
        <f t="shared" si="13"/>
        <v>Porsche-2</v>
      </c>
      <c r="P29">
        <f t="shared" si="14"/>
        <v>2</v>
      </c>
      <c r="Q29">
        <f t="shared" si="15"/>
        <v>2.02</v>
      </c>
      <c r="R29">
        <f t="shared" si="3"/>
        <v>2</v>
      </c>
      <c r="S29">
        <f t="shared" si="4"/>
        <v>2</v>
      </c>
      <c r="T29" t="str">
        <f>IF(V29="","",IFERROR(VLOOKUP(TRIM($V29),KEY!$B$2:$F$72,2,FALSE),""))</f>
        <v>Porsche</v>
      </c>
      <c r="V29" s="78" t="s">
        <v>171</v>
      </c>
      <c r="W29" s="78">
        <v>9</v>
      </c>
      <c r="X29" s="78">
        <v>1</v>
      </c>
      <c r="Y29" s="78">
        <v>11</v>
      </c>
      <c r="Z29" s="78">
        <v>0</v>
      </c>
      <c r="AA29" s="78">
        <v>1</v>
      </c>
      <c r="AB29" s="78">
        <v>2</v>
      </c>
      <c r="AC29" s="78">
        <v>3</v>
      </c>
      <c r="AD29" s="78">
        <v>6</v>
      </c>
      <c r="AE29" s="78">
        <v>67</v>
      </c>
      <c r="AF29" s="78">
        <v>0</v>
      </c>
      <c r="AG29" s="78">
        <v>0</v>
      </c>
      <c r="AH29" s="78">
        <v>0</v>
      </c>
      <c r="AI29" s="78">
        <v>0</v>
      </c>
      <c r="AJ29" s="78">
        <v>2</v>
      </c>
      <c r="AK29" s="78">
        <v>1</v>
      </c>
      <c r="AL29" s="78">
        <v>0</v>
      </c>
      <c r="AM29" s="78">
        <v>33</v>
      </c>
    </row>
    <row r="30" spans="2:39" x14ac:dyDescent="0.35">
      <c r="B30" t="str">
        <f t="shared" si="5"/>
        <v>Orange County-8</v>
      </c>
      <c r="C30" t="str">
        <f t="shared" si="6"/>
        <v>Dec 2025-Orange County-8</v>
      </c>
      <c r="D30">
        <f t="shared" si="0"/>
        <v>8</v>
      </c>
      <c r="E30">
        <f t="shared" si="7"/>
        <v>8.08</v>
      </c>
      <c r="F30">
        <f t="shared" si="8"/>
        <v>8</v>
      </c>
      <c r="G30">
        <f t="shared" si="9"/>
        <v>8</v>
      </c>
      <c r="H30" t="str">
        <f>IF(V30="","",IFERROR(VLOOKUP(TRIM($V30),KEY!$B$2:$F$72,3,FALSE),""))</f>
        <v>Orange County</v>
      </c>
      <c r="I30" t="str">
        <f t="shared" si="10"/>
        <v>WEST-50</v>
      </c>
      <c r="J30" t="str">
        <f t="shared" si="11"/>
        <v>Dec 2025-WEST-50</v>
      </c>
      <c r="K30">
        <f t="shared" si="1"/>
        <v>50</v>
      </c>
      <c r="L30">
        <f t="shared" si="12"/>
        <v>50.62</v>
      </c>
      <c r="M30">
        <f>IF(V30="","",IFERROR(VLOOKUP(TRIM($V30),KEY!$B$2:$F$72,5,FALSE),""))</f>
        <v>62</v>
      </c>
      <c r="N30">
        <f t="shared" si="2"/>
        <v>50</v>
      </c>
      <c r="O30" t="str">
        <f t="shared" si="13"/>
        <v>Volkswagen-1</v>
      </c>
      <c r="P30">
        <f t="shared" si="14"/>
        <v>1</v>
      </c>
      <c r="Q30">
        <f t="shared" si="15"/>
        <v>1.02</v>
      </c>
      <c r="R30">
        <f t="shared" si="3"/>
        <v>2</v>
      </c>
      <c r="S30">
        <f t="shared" si="4"/>
        <v>1</v>
      </c>
      <c r="T30" t="str">
        <f>IF(V30="","",IFERROR(VLOOKUP(TRIM($V30),KEY!$B$2:$F$72,2,FALSE),""))</f>
        <v>Volkswagen</v>
      </c>
      <c r="V30" s="78" t="s">
        <v>172</v>
      </c>
      <c r="W30" s="78">
        <v>32</v>
      </c>
      <c r="X30" s="78">
        <v>1</v>
      </c>
      <c r="Y30" s="78">
        <v>3</v>
      </c>
      <c r="Z30" s="78">
        <v>0</v>
      </c>
      <c r="AA30" s="78">
        <v>1</v>
      </c>
      <c r="AB30" s="78">
        <v>10</v>
      </c>
      <c r="AC30" s="78">
        <v>1</v>
      </c>
      <c r="AD30" s="78">
        <v>12</v>
      </c>
      <c r="AE30" s="78">
        <v>38</v>
      </c>
      <c r="AF30" s="78">
        <v>0</v>
      </c>
      <c r="AG30" s="78">
        <v>0</v>
      </c>
      <c r="AH30" s="78">
        <v>0</v>
      </c>
      <c r="AI30" s="78">
        <v>0</v>
      </c>
      <c r="AJ30" s="78">
        <v>20</v>
      </c>
      <c r="AK30" s="78">
        <v>0</v>
      </c>
      <c r="AL30" s="78">
        <v>0</v>
      </c>
      <c r="AM30" s="78">
        <v>63</v>
      </c>
    </row>
    <row r="31" spans="2:39" x14ac:dyDescent="0.35">
      <c r="B31" t="str">
        <f t="shared" si="5"/>
        <v>Orange County-1</v>
      </c>
      <c r="C31" t="str">
        <f t="shared" si="6"/>
        <v>Dec 2025-Orange County-1</v>
      </c>
      <c r="D31">
        <f t="shared" si="0"/>
        <v>1</v>
      </c>
      <c r="E31">
        <f t="shared" si="7"/>
        <v>1.04</v>
      </c>
      <c r="F31">
        <f t="shared" si="8"/>
        <v>4</v>
      </c>
      <c r="G31">
        <f t="shared" si="9"/>
        <v>1</v>
      </c>
      <c r="H31" t="str">
        <f>IF(V31="","",IFERROR(VLOOKUP(TRIM($V31),KEY!$B$2:$F$72,3,FALSE),""))</f>
        <v>Orange County</v>
      </c>
      <c r="I31" t="str">
        <f t="shared" si="10"/>
        <v>WEST-13</v>
      </c>
      <c r="J31" t="str">
        <f t="shared" si="11"/>
        <v>Dec 2025-WEST-13</v>
      </c>
      <c r="K31">
        <f t="shared" si="1"/>
        <v>13</v>
      </c>
      <c r="L31">
        <f t="shared" si="12"/>
        <v>13.19</v>
      </c>
      <c r="M31">
        <f>IF(V31="","",IFERROR(VLOOKUP(TRIM($V31),KEY!$B$2:$F$72,5,FALSE),""))</f>
        <v>19</v>
      </c>
      <c r="N31">
        <f t="shared" si="2"/>
        <v>13</v>
      </c>
      <c r="O31" t="str">
        <f t="shared" si="13"/>
        <v>BMW-3</v>
      </c>
      <c r="P31">
        <f t="shared" si="14"/>
        <v>3</v>
      </c>
      <c r="Q31">
        <f t="shared" si="15"/>
        <v>3.07</v>
      </c>
      <c r="R31">
        <f t="shared" si="3"/>
        <v>7</v>
      </c>
      <c r="S31">
        <f t="shared" si="4"/>
        <v>3</v>
      </c>
      <c r="T31" t="str">
        <f>IF(V31="","",IFERROR(VLOOKUP(TRIM($V31),KEY!$B$2:$F$72,2,FALSE),""))</f>
        <v>BMW</v>
      </c>
      <c r="V31" s="78" t="s">
        <v>173</v>
      </c>
      <c r="W31" s="78">
        <v>168</v>
      </c>
      <c r="X31" s="78">
        <v>80</v>
      </c>
      <c r="Y31" s="78">
        <v>48</v>
      </c>
      <c r="Z31" s="78">
        <v>1</v>
      </c>
      <c r="AA31" s="78">
        <v>80</v>
      </c>
      <c r="AB31" s="78">
        <v>19</v>
      </c>
      <c r="AC31" s="78">
        <v>22</v>
      </c>
      <c r="AD31" s="78">
        <v>122</v>
      </c>
      <c r="AE31" s="78">
        <v>73</v>
      </c>
      <c r="AF31" s="78">
        <v>0</v>
      </c>
      <c r="AG31" s="78">
        <v>0</v>
      </c>
      <c r="AH31" s="78">
        <v>0</v>
      </c>
      <c r="AI31" s="78">
        <v>0</v>
      </c>
      <c r="AJ31" s="78">
        <v>18</v>
      </c>
      <c r="AK31" s="78">
        <v>28</v>
      </c>
      <c r="AL31" s="78">
        <v>0</v>
      </c>
      <c r="AM31" s="78">
        <v>27</v>
      </c>
    </row>
    <row r="32" spans="2:39" x14ac:dyDescent="0.35">
      <c r="B32" t="str">
        <f t="shared" si="5"/>
        <v>Orange County-2</v>
      </c>
      <c r="C32" t="str">
        <f t="shared" si="6"/>
        <v>Dec 2025-Orange County-2</v>
      </c>
      <c r="D32">
        <f t="shared" si="0"/>
        <v>2</v>
      </c>
      <c r="E32">
        <f t="shared" si="7"/>
        <v>2.0299999999999998</v>
      </c>
      <c r="F32">
        <f t="shared" si="8"/>
        <v>3</v>
      </c>
      <c r="G32">
        <f t="shared" si="9"/>
        <v>2</v>
      </c>
      <c r="H32" t="str">
        <f>IF(V32="","",IFERROR(VLOOKUP(TRIM($V32),KEY!$B$2:$F$72,3,FALSE),""))</f>
        <v>Orange County</v>
      </c>
      <c r="I32" t="str">
        <f t="shared" si="10"/>
        <v>WEST-16</v>
      </c>
      <c r="J32" t="str">
        <f t="shared" si="11"/>
        <v>Dec 2025-WEST-16</v>
      </c>
      <c r="K32">
        <f t="shared" si="1"/>
        <v>16</v>
      </c>
      <c r="L32">
        <f t="shared" si="12"/>
        <v>15.15</v>
      </c>
      <c r="M32">
        <f>IF(V32="","",IFERROR(VLOOKUP(TRIM($V32),KEY!$B$2:$F$72,5,FALSE),""))</f>
        <v>15</v>
      </c>
      <c r="N32">
        <f t="shared" si="2"/>
        <v>15</v>
      </c>
      <c r="O32" t="str">
        <f t="shared" si="13"/>
        <v>BMW-5</v>
      </c>
      <c r="P32">
        <f t="shared" si="14"/>
        <v>5</v>
      </c>
      <c r="Q32">
        <f t="shared" si="15"/>
        <v>5.05</v>
      </c>
      <c r="R32">
        <f t="shared" si="3"/>
        <v>5</v>
      </c>
      <c r="S32">
        <f t="shared" si="4"/>
        <v>5</v>
      </c>
      <c r="T32" t="str">
        <f>IF(V32="","",IFERROR(VLOOKUP(TRIM($V32),KEY!$B$2:$F$72,2,FALSE),""))</f>
        <v>BMW</v>
      </c>
      <c r="V32" s="78" t="s">
        <v>174</v>
      </c>
      <c r="W32" s="78">
        <v>31</v>
      </c>
      <c r="X32" s="78">
        <v>14</v>
      </c>
      <c r="Y32" s="78">
        <v>45</v>
      </c>
      <c r="Z32" s="78">
        <v>1</v>
      </c>
      <c r="AA32" s="78">
        <v>14</v>
      </c>
      <c r="AB32" s="78">
        <v>0</v>
      </c>
      <c r="AC32" s="78">
        <v>2</v>
      </c>
      <c r="AD32" s="78">
        <v>17</v>
      </c>
      <c r="AE32" s="78">
        <v>55</v>
      </c>
      <c r="AF32" s="78">
        <v>0</v>
      </c>
      <c r="AG32" s="78">
        <v>6</v>
      </c>
      <c r="AH32" s="78">
        <v>7</v>
      </c>
      <c r="AI32" s="78">
        <v>42</v>
      </c>
      <c r="AJ32" s="78">
        <v>1</v>
      </c>
      <c r="AK32" s="78">
        <v>0</v>
      </c>
      <c r="AL32" s="78">
        <v>0</v>
      </c>
      <c r="AM32" s="78">
        <v>3</v>
      </c>
    </row>
    <row r="33" spans="2:39" x14ac:dyDescent="0.35">
      <c r="B33" t="str">
        <f t="shared" si="5"/>
        <v>Orange County-5</v>
      </c>
      <c r="C33" t="str">
        <f t="shared" si="6"/>
        <v>Dec 2025-Orange County-5</v>
      </c>
      <c r="D33">
        <f t="shared" si="0"/>
        <v>5</v>
      </c>
      <c r="E33">
        <f t="shared" si="7"/>
        <v>5.07</v>
      </c>
      <c r="F33">
        <f t="shared" si="8"/>
        <v>7</v>
      </c>
      <c r="G33">
        <f t="shared" si="9"/>
        <v>5</v>
      </c>
      <c r="H33" t="str">
        <f>IF(V33="","",IFERROR(VLOOKUP(TRIM($V33),KEY!$B$2:$F$72,3,FALSE),""))</f>
        <v>Orange County</v>
      </c>
      <c r="I33" t="str">
        <f t="shared" si="10"/>
        <v>WEST-43</v>
      </c>
      <c r="J33" t="str">
        <f t="shared" si="11"/>
        <v>Dec 2025-WEST-43</v>
      </c>
      <c r="K33">
        <f t="shared" si="1"/>
        <v>43</v>
      </c>
      <c r="L33">
        <f t="shared" si="12"/>
        <v>43.56</v>
      </c>
      <c r="M33">
        <f>IF(V33="","",IFERROR(VLOOKUP(TRIM($V33),KEY!$B$2:$F$72,5,FALSE),""))</f>
        <v>56</v>
      </c>
      <c r="N33">
        <f t="shared" si="2"/>
        <v>43</v>
      </c>
      <c r="O33" t="str">
        <f t="shared" si="13"/>
        <v>Subaru-1</v>
      </c>
      <c r="P33">
        <f t="shared" si="14"/>
        <v>1</v>
      </c>
      <c r="Q33">
        <f t="shared" si="15"/>
        <v>1.01</v>
      </c>
      <c r="R33">
        <f t="shared" si="3"/>
        <v>1</v>
      </c>
      <c r="S33">
        <f t="shared" si="4"/>
        <v>1</v>
      </c>
      <c r="T33" t="str">
        <f>IF(V33="","",IFERROR(VLOOKUP(TRIM($V33),KEY!$B$2:$F$72,2,FALSE),""))</f>
        <v>Subaru</v>
      </c>
      <c r="V33" s="78" t="s">
        <v>175</v>
      </c>
      <c r="W33" s="78">
        <v>16</v>
      </c>
      <c r="X33" s="78">
        <v>3</v>
      </c>
      <c r="Y33" s="78">
        <v>19</v>
      </c>
      <c r="Z33" s="78">
        <v>1</v>
      </c>
      <c r="AA33" s="78">
        <v>3</v>
      </c>
      <c r="AB33" s="78">
        <v>2</v>
      </c>
      <c r="AC33" s="78">
        <v>6</v>
      </c>
      <c r="AD33" s="78">
        <v>12</v>
      </c>
      <c r="AE33" s="78">
        <v>75</v>
      </c>
      <c r="AF33" s="78">
        <v>0</v>
      </c>
      <c r="AG33" s="78">
        <v>2</v>
      </c>
      <c r="AH33" s="78">
        <v>0</v>
      </c>
      <c r="AI33" s="78">
        <v>13</v>
      </c>
      <c r="AJ33" s="78">
        <v>0</v>
      </c>
      <c r="AK33" s="78">
        <v>2</v>
      </c>
      <c r="AL33" s="78">
        <v>0</v>
      </c>
      <c r="AM33" s="78">
        <v>13</v>
      </c>
    </row>
    <row r="34" spans="2:39" x14ac:dyDescent="0.35">
      <c r="B34" t="str">
        <f t="shared" si="5"/>
        <v>Orange County-7</v>
      </c>
      <c r="C34" t="str">
        <f t="shared" si="6"/>
        <v>Dec 2025-Orange County-7</v>
      </c>
      <c r="D34">
        <f t="shared" si="0"/>
        <v>7</v>
      </c>
      <c r="E34">
        <f t="shared" si="7"/>
        <v>7.06</v>
      </c>
      <c r="F34">
        <f t="shared" si="8"/>
        <v>6</v>
      </c>
      <c r="G34">
        <f t="shared" si="9"/>
        <v>7</v>
      </c>
      <c r="H34" t="str">
        <f>IF(V34="","",IFERROR(VLOOKUP(TRIM($V34),KEY!$B$2:$F$72,3,FALSE),""))</f>
        <v>Orange County</v>
      </c>
      <c r="I34" t="str">
        <f t="shared" si="10"/>
        <v>WEST-46</v>
      </c>
      <c r="J34" t="str">
        <f t="shared" si="11"/>
        <v>Dec 2025-WEST-46</v>
      </c>
      <c r="K34">
        <f t="shared" si="1"/>
        <v>46</v>
      </c>
      <c r="L34">
        <f t="shared" si="12"/>
        <v>45.34</v>
      </c>
      <c r="M34">
        <f>IF(V34="","",IFERROR(VLOOKUP(TRIM($V34),KEY!$B$2:$F$72,5,FALSE),""))</f>
        <v>34</v>
      </c>
      <c r="N34">
        <f t="shared" si="2"/>
        <v>45</v>
      </c>
      <c r="O34" t="str">
        <f t="shared" si="13"/>
        <v>Lincoln-1</v>
      </c>
      <c r="P34">
        <f t="shared" si="14"/>
        <v>1</v>
      </c>
      <c r="Q34">
        <f t="shared" si="15"/>
        <v>1.01</v>
      </c>
      <c r="R34">
        <f t="shared" si="3"/>
        <v>1</v>
      </c>
      <c r="S34">
        <f t="shared" si="4"/>
        <v>1</v>
      </c>
      <c r="T34" t="str">
        <f>IF(V34="","",IFERROR(VLOOKUP(TRIM($V34),KEY!$B$2:$F$72,2,FALSE),""))</f>
        <v>Lincoln</v>
      </c>
      <c r="V34" s="78" t="s">
        <v>176</v>
      </c>
      <c r="W34" s="78">
        <v>7</v>
      </c>
      <c r="X34" s="78">
        <v>1</v>
      </c>
      <c r="Y34" s="78">
        <v>14</v>
      </c>
      <c r="Z34" s="78">
        <v>0</v>
      </c>
      <c r="AA34" s="78">
        <v>1</v>
      </c>
      <c r="AB34" s="78">
        <v>1</v>
      </c>
      <c r="AC34" s="78">
        <v>1</v>
      </c>
      <c r="AD34" s="78">
        <v>3</v>
      </c>
      <c r="AE34" s="78">
        <v>43</v>
      </c>
      <c r="AF34" s="78">
        <v>0</v>
      </c>
      <c r="AG34" s="78">
        <v>2</v>
      </c>
      <c r="AH34" s="78">
        <v>0</v>
      </c>
      <c r="AI34" s="78">
        <v>29</v>
      </c>
      <c r="AJ34" s="78">
        <v>2</v>
      </c>
      <c r="AK34" s="78">
        <v>0</v>
      </c>
      <c r="AL34" s="78">
        <v>0</v>
      </c>
      <c r="AM34" s="78">
        <v>29</v>
      </c>
    </row>
    <row r="35" spans="2:39" x14ac:dyDescent="0.35">
      <c r="B35" t="str">
        <f t="shared" si="5"/>
        <v>Orange County-4</v>
      </c>
      <c r="C35" t="str">
        <f t="shared" si="6"/>
        <v>Dec 2025-Orange County-4</v>
      </c>
      <c r="D35">
        <f t="shared" si="0"/>
        <v>4</v>
      </c>
      <c r="E35">
        <f t="shared" si="7"/>
        <v>4.0199999999999996</v>
      </c>
      <c r="F35">
        <f t="shared" si="8"/>
        <v>2</v>
      </c>
      <c r="G35">
        <f t="shared" si="9"/>
        <v>4</v>
      </c>
      <c r="H35" t="str">
        <f>IF(V35="","",IFERROR(VLOOKUP(TRIM($V35),KEY!$B$2:$F$72,3,FALSE),""))</f>
        <v>Orange County</v>
      </c>
      <c r="I35" t="str">
        <f t="shared" si="10"/>
        <v>WEST-35</v>
      </c>
      <c r="J35" t="str">
        <f t="shared" si="11"/>
        <v>Dec 2025-WEST-35</v>
      </c>
      <c r="K35">
        <f t="shared" si="1"/>
        <v>35</v>
      </c>
      <c r="L35">
        <f t="shared" si="12"/>
        <v>35.08</v>
      </c>
      <c r="M35">
        <f>IF(V35="","",IFERROR(VLOOKUP(TRIM($V35),KEY!$B$2:$F$72,5,FALSE),""))</f>
        <v>8</v>
      </c>
      <c r="N35">
        <f t="shared" si="2"/>
        <v>35</v>
      </c>
      <c r="O35" t="str">
        <f t="shared" si="13"/>
        <v>Audi-4</v>
      </c>
      <c r="P35">
        <f t="shared" si="14"/>
        <v>4</v>
      </c>
      <c r="Q35">
        <f t="shared" si="15"/>
        <v>4.0599999999999996</v>
      </c>
      <c r="R35">
        <f t="shared" si="3"/>
        <v>6</v>
      </c>
      <c r="S35">
        <f t="shared" si="4"/>
        <v>4</v>
      </c>
      <c r="T35" t="str">
        <f>IF(V35="","",IFERROR(VLOOKUP(TRIM($V35),KEY!$B$2:$F$72,2,FALSE),""))</f>
        <v>Audi</v>
      </c>
      <c r="V35" s="78" t="s">
        <v>177</v>
      </c>
      <c r="W35" s="78">
        <v>51</v>
      </c>
      <c r="X35" s="78">
        <v>12</v>
      </c>
      <c r="Y35" s="78">
        <v>24</v>
      </c>
      <c r="Z35" s="78">
        <v>0</v>
      </c>
      <c r="AA35" s="78">
        <v>12</v>
      </c>
      <c r="AB35" s="78">
        <v>9</v>
      </c>
      <c r="AC35" s="78">
        <v>5</v>
      </c>
      <c r="AD35" s="78">
        <v>26</v>
      </c>
      <c r="AE35" s="78">
        <v>51</v>
      </c>
      <c r="AF35" s="78">
        <v>0</v>
      </c>
      <c r="AG35" s="78">
        <v>0</v>
      </c>
      <c r="AH35" s="78">
        <v>0</v>
      </c>
      <c r="AI35" s="78">
        <v>0</v>
      </c>
      <c r="AJ35" s="78">
        <v>21</v>
      </c>
      <c r="AK35" s="78">
        <v>4</v>
      </c>
      <c r="AL35" s="78">
        <v>0</v>
      </c>
      <c r="AM35" s="78">
        <v>49</v>
      </c>
    </row>
    <row r="36" spans="2:39" x14ac:dyDescent="0.35">
      <c r="B36" t="str">
        <f t="shared" si="5"/>
        <v>Orange County-3</v>
      </c>
      <c r="C36" t="str">
        <f t="shared" si="6"/>
        <v>Dec 2025-Orange County-3</v>
      </c>
      <c r="D36">
        <f t="shared" si="0"/>
        <v>3</v>
      </c>
      <c r="E36">
        <f t="shared" si="7"/>
        <v>3.01</v>
      </c>
      <c r="F36">
        <f t="shared" si="8"/>
        <v>1</v>
      </c>
      <c r="G36">
        <f t="shared" si="9"/>
        <v>3</v>
      </c>
      <c r="H36" t="str">
        <f>IF(V36="","",IFERROR(VLOOKUP(TRIM($V36),KEY!$B$2:$F$72,3,FALSE),""))</f>
        <v>Orange County</v>
      </c>
      <c r="I36" t="str">
        <f t="shared" si="10"/>
        <v>WEST-29</v>
      </c>
      <c r="J36" t="str">
        <f t="shared" si="11"/>
        <v>Dec 2025-WEST-29</v>
      </c>
      <c r="K36">
        <f t="shared" si="1"/>
        <v>29</v>
      </c>
      <c r="L36">
        <f t="shared" si="12"/>
        <v>29.05</v>
      </c>
      <c r="M36">
        <f>IF(V36="","",IFERROR(VLOOKUP(TRIM($V36),KEY!$B$2:$F$72,5,FALSE),""))</f>
        <v>5</v>
      </c>
      <c r="N36">
        <f t="shared" si="2"/>
        <v>29</v>
      </c>
      <c r="O36" t="str">
        <f t="shared" si="13"/>
        <v>Audi-1</v>
      </c>
      <c r="P36">
        <f t="shared" si="14"/>
        <v>1</v>
      </c>
      <c r="Q36">
        <f t="shared" si="15"/>
        <v>1.03</v>
      </c>
      <c r="R36">
        <f t="shared" si="3"/>
        <v>3</v>
      </c>
      <c r="S36">
        <f t="shared" si="4"/>
        <v>1</v>
      </c>
      <c r="T36" t="str">
        <f>IF(V36="","",IFERROR(VLOOKUP(TRIM($V36),KEY!$B$2:$F$72,2,FALSE),""))</f>
        <v>Audi</v>
      </c>
      <c r="V36" s="78" t="s">
        <v>178</v>
      </c>
      <c r="W36" s="78">
        <v>16</v>
      </c>
      <c r="X36" s="78">
        <v>5</v>
      </c>
      <c r="Y36" s="78">
        <v>31</v>
      </c>
      <c r="Z36" s="78">
        <v>0</v>
      </c>
      <c r="AA36" s="78">
        <v>5</v>
      </c>
      <c r="AB36" s="78">
        <v>3</v>
      </c>
      <c r="AC36" s="78">
        <v>0</v>
      </c>
      <c r="AD36" s="78">
        <v>8</v>
      </c>
      <c r="AE36" s="78">
        <v>50</v>
      </c>
      <c r="AF36" s="78">
        <v>0</v>
      </c>
      <c r="AG36" s="78">
        <v>0</v>
      </c>
      <c r="AH36" s="78">
        <v>0</v>
      </c>
      <c r="AI36" s="78">
        <v>0</v>
      </c>
      <c r="AJ36" s="78">
        <v>2</v>
      </c>
      <c r="AK36" s="78">
        <v>6</v>
      </c>
      <c r="AL36" s="78">
        <v>0</v>
      </c>
      <c r="AM36" s="78">
        <v>50</v>
      </c>
    </row>
    <row r="37" spans="2:39" x14ac:dyDescent="0.35">
      <c r="B37" t="str">
        <f t="shared" si="5"/>
        <v>Orange County-6</v>
      </c>
      <c r="C37" t="str">
        <f t="shared" si="6"/>
        <v>Dec 2025-Orange County-6</v>
      </c>
      <c r="D37">
        <f t="shared" si="0"/>
        <v>6</v>
      </c>
      <c r="E37">
        <f t="shared" si="7"/>
        <v>6.05</v>
      </c>
      <c r="F37">
        <f t="shared" si="8"/>
        <v>5</v>
      </c>
      <c r="G37">
        <f t="shared" si="9"/>
        <v>6</v>
      </c>
      <c r="H37" t="str">
        <f>IF(V37="","",IFERROR(VLOOKUP(TRIM($V37),KEY!$B$2:$F$72,3,FALSE),""))</f>
        <v>Orange County</v>
      </c>
      <c r="I37" t="str">
        <f t="shared" si="10"/>
        <v>WEST-44</v>
      </c>
      <c r="J37" t="str">
        <f t="shared" si="11"/>
        <v>Dec 2025-WEST-44</v>
      </c>
      <c r="K37">
        <f t="shared" si="1"/>
        <v>44</v>
      </c>
      <c r="L37">
        <f t="shared" si="12"/>
        <v>44.2</v>
      </c>
      <c r="M37">
        <f>IF(V37="","",IFERROR(VLOOKUP(TRIM($V37),KEY!$B$2:$F$72,5,FALSE),""))</f>
        <v>20</v>
      </c>
      <c r="N37">
        <f t="shared" si="2"/>
        <v>44</v>
      </c>
      <c r="O37" t="str">
        <f t="shared" si="13"/>
        <v>MINI-6</v>
      </c>
      <c r="P37">
        <f t="shared" si="14"/>
        <v>6</v>
      </c>
      <c r="Q37">
        <f t="shared" si="15"/>
        <v>6.01</v>
      </c>
      <c r="R37">
        <f t="shared" si="3"/>
        <v>1</v>
      </c>
      <c r="S37">
        <f t="shared" si="4"/>
        <v>6</v>
      </c>
      <c r="T37" t="str">
        <f>IF(V37="","",IFERROR(VLOOKUP(TRIM($V37),KEY!$B$2:$F$72,2,FALSE),""))</f>
        <v>MINI</v>
      </c>
      <c r="V37" s="78" t="s">
        <v>179</v>
      </c>
      <c r="W37" s="78">
        <v>11</v>
      </c>
      <c r="X37" s="78">
        <v>2</v>
      </c>
      <c r="Y37" s="78">
        <v>18</v>
      </c>
      <c r="Z37" s="78">
        <v>0</v>
      </c>
      <c r="AA37" s="78">
        <v>2</v>
      </c>
      <c r="AB37" s="78">
        <v>1</v>
      </c>
      <c r="AC37" s="78">
        <v>1</v>
      </c>
      <c r="AD37" s="78">
        <v>4</v>
      </c>
      <c r="AE37" s="78">
        <v>36</v>
      </c>
      <c r="AF37" s="78">
        <v>0</v>
      </c>
      <c r="AG37" s="78">
        <v>0</v>
      </c>
      <c r="AH37" s="78">
        <v>0</v>
      </c>
      <c r="AI37" s="78">
        <v>0</v>
      </c>
      <c r="AJ37" s="78">
        <v>5</v>
      </c>
      <c r="AK37" s="78">
        <v>2</v>
      </c>
      <c r="AL37" s="78">
        <v>0</v>
      </c>
      <c r="AM37" s="78">
        <v>64</v>
      </c>
    </row>
    <row r="38" spans="2:39" x14ac:dyDescent="0.35">
      <c r="B38" t="str">
        <f t="shared" si="5"/>
        <v>Southern California-10</v>
      </c>
      <c r="C38" t="str">
        <f t="shared" si="6"/>
        <v>Dec 2025-Southern California-10</v>
      </c>
      <c r="D38">
        <f t="shared" si="0"/>
        <v>10</v>
      </c>
      <c r="E38">
        <f t="shared" si="7"/>
        <v>10.01</v>
      </c>
      <c r="F38">
        <f t="shared" si="8"/>
        <v>1</v>
      </c>
      <c r="G38">
        <f t="shared" si="9"/>
        <v>10</v>
      </c>
      <c r="H38" t="str">
        <f>IF(V38="","",IFERROR(VLOOKUP(TRIM($V38),KEY!$B$2:$F$72,3,FALSE),""))</f>
        <v>Southern California</v>
      </c>
      <c r="I38" t="str">
        <f t="shared" si="10"/>
        <v>WEST-48</v>
      </c>
      <c r="J38" t="str">
        <f t="shared" si="11"/>
        <v>Dec 2025-WEST-48</v>
      </c>
      <c r="K38">
        <f t="shared" si="1"/>
        <v>48</v>
      </c>
      <c r="L38">
        <f t="shared" si="12"/>
        <v>48.02</v>
      </c>
      <c r="M38">
        <f>IF(V38="","",IFERROR(VLOOKUP(TRIM($V38),KEY!$B$2:$F$72,5,FALSE),""))</f>
        <v>2</v>
      </c>
      <c r="N38">
        <f t="shared" si="2"/>
        <v>48</v>
      </c>
      <c r="O38" t="str">
        <f t="shared" si="13"/>
        <v>Acura-3</v>
      </c>
      <c r="P38">
        <f t="shared" si="14"/>
        <v>3</v>
      </c>
      <c r="Q38">
        <f t="shared" si="15"/>
        <v>3.02</v>
      </c>
      <c r="R38">
        <f t="shared" si="3"/>
        <v>2</v>
      </c>
      <c r="S38">
        <f t="shared" si="4"/>
        <v>3</v>
      </c>
      <c r="T38" t="str">
        <f>IF(V38="","",IFERROR(VLOOKUP(TRIM($V38),KEY!$B$2:$F$72,2,FALSE),""))</f>
        <v>Acura</v>
      </c>
      <c r="V38" s="78" t="s">
        <v>180</v>
      </c>
      <c r="W38" s="78">
        <v>9</v>
      </c>
      <c r="X38" s="78">
        <v>1</v>
      </c>
      <c r="Y38" s="78">
        <v>11</v>
      </c>
      <c r="Z38" s="78">
        <v>2</v>
      </c>
      <c r="AA38" s="78">
        <v>1</v>
      </c>
      <c r="AB38" s="78">
        <v>1</v>
      </c>
      <c r="AC38" s="78">
        <v>0</v>
      </c>
      <c r="AD38" s="78">
        <v>4</v>
      </c>
      <c r="AE38" s="78">
        <v>44</v>
      </c>
      <c r="AF38" s="78">
        <v>0</v>
      </c>
      <c r="AG38" s="78">
        <v>0</v>
      </c>
      <c r="AH38" s="78">
        <v>0</v>
      </c>
      <c r="AI38" s="78">
        <v>0</v>
      </c>
      <c r="AJ38" s="78">
        <v>2</v>
      </c>
      <c r="AK38" s="78">
        <v>3</v>
      </c>
      <c r="AL38" s="78">
        <v>0</v>
      </c>
      <c r="AM38" s="78">
        <v>56</v>
      </c>
    </row>
    <row r="39" spans="2:39" x14ac:dyDescent="0.35">
      <c r="B39" t="str">
        <f t="shared" si="5"/>
        <v>Southern California-5</v>
      </c>
      <c r="C39" t="str">
        <f t="shared" si="6"/>
        <v>Dec 2025-Southern California-5</v>
      </c>
      <c r="D39">
        <f t="shared" si="0"/>
        <v>5</v>
      </c>
      <c r="E39">
        <f t="shared" si="7"/>
        <v>5.05</v>
      </c>
      <c r="F39">
        <f t="shared" si="8"/>
        <v>5</v>
      </c>
      <c r="G39">
        <f t="shared" si="9"/>
        <v>5</v>
      </c>
      <c r="H39" t="str">
        <f>IF(V39="","",IFERROR(VLOOKUP(TRIM($V39),KEY!$B$2:$F$72,3,FALSE),""))</f>
        <v>Southern California</v>
      </c>
      <c r="I39" t="str">
        <f t="shared" si="10"/>
        <v>WEST-25</v>
      </c>
      <c r="J39" t="str">
        <f t="shared" si="11"/>
        <v>Dec 2025-WEST-25</v>
      </c>
      <c r="K39">
        <f t="shared" si="1"/>
        <v>25</v>
      </c>
      <c r="L39">
        <f t="shared" si="12"/>
        <v>25.25</v>
      </c>
      <c r="M39">
        <f>IF(V39="","",IFERROR(VLOOKUP(TRIM($V39),KEY!$B$2:$F$72,5,FALSE),""))</f>
        <v>25</v>
      </c>
      <c r="N39">
        <f t="shared" si="2"/>
        <v>25</v>
      </c>
      <c r="O39" t="str">
        <f t="shared" si="13"/>
        <v>Honda-3</v>
      </c>
      <c r="P39">
        <f t="shared" si="14"/>
        <v>3</v>
      </c>
      <c r="Q39">
        <f t="shared" si="15"/>
        <v>3.04</v>
      </c>
      <c r="R39">
        <f t="shared" si="3"/>
        <v>4</v>
      </c>
      <c r="S39">
        <f t="shared" si="4"/>
        <v>3</v>
      </c>
      <c r="T39" t="str">
        <f>IF(V39="","",IFERROR(VLOOKUP(TRIM($V39),KEY!$B$2:$F$72,2,FALSE),""))</f>
        <v>Honda</v>
      </c>
      <c r="V39" s="78" t="s">
        <v>181</v>
      </c>
      <c r="W39" s="78">
        <v>14</v>
      </c>
      <c r="X39" s="78">
        <v>5</v>
      </c>
      <c r="Y39" s="78">
        <v>36</v>
      </c>
      <c r="Z39" s="78">
        <v>0</v>
      </c>
      <c r="AA39" s="78">
        <v>5</v>
      </c>
      <c r="AB39" s="78">
        <v>2</v>
      </c>
      <c r="AC39" s="78">
        <v>4</v>
      </c>
      <c r="AD39" s="78">
        <v>11</v>
      </c>
      <c r="AE39" s="78">
        <v>79</v>
      </c>
      <c r="AF39" s="78">
        <v>0</v>
      </c>
      <c r="AG39" s="78">
        <v>1</v>
      </c>
      <c r="AH39" s="78">
        <v>0</v>
      </c>
      <c r="AI39" s="78">
        <v>7</v>
      </c>
      <c r="AJ39" s="78">
        <v>1</v>
      </c>
      <c r="AK39" s="78">
        <v>1</v>
      </c>
      <c r="AL39" s="78">
        <v>0</v>
      </c>
      <c r="AM39" s="78">
        <v>14</v>
      </c>
    </row>
    <row r="40" spans="2:39" x14ac:dyDescent="0.35">
      <c r="B40" t="str">
        <f t="shared" si="5"/>
        <v>Southern California-1</v>
      </c>
      <c r="C40" t="str">
        <f t="shared" si="6"/>
        <v>Dec 2025-Southern California-1</v>
      </c>
      <c r="D40">
        <f t="shared" si="0"/>
        <v>1</v>
      </c>
      <c r="E40">
        <f t="shared" si="7"/>
        <v>1.07</v>
      </c>
      <c r="F40">
        <f t="shared" si="8"/>
        <v>7</v>
      </c>
      <c r="G40">
        <f t="shared" si="9"/>
        <v>1</v>
      </c>
      <c r="H40" t="str">
        <f>IF(V40="","",IFERROR(VLOOKUP(TRIM($V40),KEY!$B$2:$F$72,3,FALSE),""))</f>
        <v>Southern California</v>
      </c>
      <c r="I40" t="str">
        <f t="shared" si="10"/>
        <v>WEST-9</v>
      </c>
      <c r="J40" t="str">
        <f t="shared" si="11"/>
        <v>Dec 2025-WEST-9</v>
      </c>
      <c r="K40">
        <f t="shared" si="1"/>
        <v>9</v>
      </c>
      <c r="L40">
        <f t="shared" si="12"/>
        <v>5.33</v>
      </c>
      <c r="M40">
        <f>IF(V40="","",IFERROR(VLOOKUP(TRIM($V40),KEY!$B$2:$F$72,5,FALSE),""))</f>
        <v>33</v>
      </c>
      <c r="N40">
        <f t="shared" si="2"/>
        <v>5</v>
      </c>
      <c r="O40" t="str">
        <f t="shared" si="13"/>
        <v>Lexus-4</v>
      </c>
      <c r="P40">
        <f t="shared" si="14"/>
        <v>4</v>
      </c>
      <c r="Q40">
        <f t="shared" si="15"/>
        <v>2.04</v>
      </c>
      <c r="R40">
        <f t="shared" si="3"/>
        <v>4</v>
      </c>
      <c r="S40">
        <f t="shared" si="4"/>
        <v>2</v>
      </c>
      <c r="T40" t="str">
        <f>IF(V40="","",IFERROR(VLOOKUP(TRIM($V40),KEY!$B$2:$F$72,2,FALSE),""))</f>
        <v>Lexus</v>
      </c>
      <c r="V40" s="78" t="s">
        <v>182</v>
      </c>
      <c r="W40" s="78">
        <v>8</v>
      </c>
      <c r="X40" s="78">
        <v>4</v>
      </c>
      <c r="Y40" s="78">
        <v>50</v>
      </c>
      <c r="Z40" s="78">
        <v>1</v>
      </c>
      <c r="AA40" s="78">
        <v>4</v>
      </c>
      <c r="AB40" s="78">
        <v>0</v>
      </c>
      <c r="AC40" s="78">
        <v>1</v>
      </c>
      <c r="AD40" s="78">
        <v>6</v>
      </c>
      <c r="AE40" s="78">
        <v>75</v>
      </c>
      <c r="AF40" s="78">
        <v>2</v>
      </c>
      <c r="AG40" s="78">
        <v>0</v>
      </c>
      <c r="AH40" s="78">
        <v>0</v>
      </c>
      <c r="AI40" s="78">
        <v>25</v>
      </c>
      <c r="AJ40" s="78">
        <v>0</v>
      </c>
      <c r="AK40" s="78">
        <v>0</v>
      </c>
      <c r="AL40" s="78">
        <v>0</v>
      </c>
      <c r="AM40" s="78">
        <v>0</v>
      </c>
    </row>
    <row r="41" spans="2:39" x14ac:dyDescent="0.35">
      <c r="B41" t="str">
        <f t="shared" si="5"/>
        <v>Southern California-8</v>
      </c>
      <c r="C41" t="str">
        <f t="shared" si="6"/>
        <v>Dec 2025-Southern California-8</v>
      </c>
      <c r="D41">
        <f t="shared" si="0"/>
        <v>8</v>
      </c>
      <c r="E41">
        <f t="shared" si="7"/>
        <v>8.06</v>
      </c>
      <c r="F41">
        <f t="shared" si="8"/>
        <v>6</v>
      </c>
      <c r="G41">
        <f t="shared" si="9"/>
        <v>8</v>
      </c>
      <c r="H41" t="str">
        <f>IF(V41="","",IFERROR(VLOOKUP(TRIM($V41),KEY!$B$2:$F$72,3,FALSE),""))</f>
        <v>Southern California</v>
      </c>
      <c r="I41" t="str">
        <f t="shared" si="10"/>
        <v>WEST-41</v>
      </c>
      <c r="J41" t="str">
        <f t="shared" si="11"/>
        <v>Dec 2025-WEST-41</v>
      </c>
      <c r="K41">
        <f t="shared" si="1"/>
        <v>41</v>
      </c>
      <c r="L41">
        <f t="shared" si="12"/>
        <v>40.26</v>
      </c>
      <c r="M41">
        <f>IF(V41="","",IFERROR(VLOOKUP(TRIM($V41),KEY!$B$2:$F$72,5,FALSE),""))</f>
        <v>26</v>
      </c>
      <c r="N41">
        <f t="shared" si="2"/>
        <v>40</v>
      </c>
      <c r="O41" t="str">
        <f t="shared" si="13"/>
        <v>Toyota-3</v>
      </c>
      <c r="P41">
        <f t="shared" si="14"/>
        <v>3</v>
      </c>
      <c r="Q41">
        <f t="shared" si="15"/>
        <v>3.02</v>
      </c>
      <c r="R41">
        <f t="shared" si="3"/>
        <v>2</v>
      </c>
      <c r="S41">
        <f t="shared" si="4"/>
        <v>3</v>
      </c>
      <c r="T41" t="str">
        <f>IF(V41="","",IFERROR(VLOOKUP(TRIM($V41),KEY!$B$2:$F$72,2,FALSE),""))</f>
        <v>Toyota</v>
      </c>
      <c r="V41" s="78" t="s">
        <v>183</v>
      </c>
      <c r="W41" s="78">
        <v>10</v>
      </c>
      <c r="X41" s="78">
        <v>2</v>
      </c>
      <c r="Y41" s="78">
        <v>20</v>
      </c>
      <c r="Z41" s="78">
        <v>1</v>
      </c>
      <c r="AA41" s="78">
        <v>2</v>
      </c>
      <c r="AB41" s="78">
        <v>2</v>
      </c>
      <c r="AC41" s="78">
        <v>2</v>
      </c>
      <c r="AD41" s="78">
        <v>7</v>
      </c>
      <c r="AE41" s="78">
        <v>70</v>
      </c>
      <c r="AF41" s="78">
        <v>2</v>
      </c>
      <c r="AG41" s="78">
        <v>0</v>
      </c>
      <c r="AH41" s="78">
        <v>0</v>
      </c>
      <c r="AI41" s="78">
        <v>20</v>
      </c>
      <c r="AJ41" s="78">
        <v>0</v>
      </c>
      <c r="AK41" s="78">
        <v>1</v>
      </c>
      <c r="AL41" s="78">
        <v>0</v>
      </c>
      <c r="AM41" s="78">
        <v>10</v>
      </c>
    </row>
    <row r="42" spans="2:39" x14ac:dyDescent="0.35">
      <c r="B42" t="str">
        <f t="shared" si="5"/>
        <v>Southern California-7</v>
      </c>
      <c r="C42" t="str">
        <f t="shared" si="6"/>
        <v>Dec 2025-Southern California-7</v>
      </c>
      <c r="D42">
        <f t="shared" si="0"/>
        <v>7</v>
      </c>
      <c r="E42">
        <f t="shared" si="7"/>
        <v>7.08</v>
      </c>
      <c r="F42">
        <f t="shared" si="8"/>
        <v>8</v>
      </c>
      <c r="G42">
        <f t="shared" si="9"/>
        <v>7</v>
      </c>
      <c r="H42" t="str">
        <f>IF(V42="","",IFERROR(VLOOKUP(TRIM($V42),KEY!$B$2:$F$72,3,FALSE),""))</f>
        <v>Southern California</v>
      </c>
      <c r="I42" t="str">
        <f t="shared" si="10"/>
        <v>WEST-37</v>
      </c>
      <c r="J42" t="str">
        <f t="shared" si="11"/>
        <v>Dec 2025-WEST-37</v>
      </c>
      <c r="K42">
        <f t="shared" si="1"/>
        <v>37</v>
      </c>
      <c r="L42">
        <f t="shared" si="12"/>
        <v>35.35</v>
      </c>
      <c r="M42">
        <f>IF(V42="","",IFERROR(VLOOKUP(TRIM($V42),KEY!$B$2:$F$72,5,FALSE),""))</f>
        <v>35</v>
      </c>
      <c r="N42">
        <f t="shared" si="2"/>
        <v>35</v>
      </c>
      <c r="O42" t="str">
        <f t="shared" si="13"/>
        <v>Mazda-1</v>
      </c>
      <c r="P42">
        <f t="shared" si="14"/>
        <v>1</v>
      </c>
      <c r="Q42">
        <f t="shared" si="15"/>
        <v>1.01</v>
      </c>
      <c r="R42">
        <f t="shared" si="3"/>
        <v>1</v>
      </c>
      <c r="S42">
        <f t="shared" si="4"/>
        <v>1</v>
      </c>
      <c r="T42" t="str">
        <f>IF(V42="","",IFERROR(VLOOKUP(TRIM($V42),KEY!$B$2:$F$72,2,FALSE),""))</f>
        <v>Mazda</v>
      </c>
      <c r="V42" s="78" t="s">
        <v>184</v>
      </c>
      <c r="W42" s="78">
        <v>17</v>
      </c>
      <c r="X42" s="78">
        <v>4</v>
      </c>
      <c r="Y42" s="78">
        <v>24</v>
      </c>
      <c r="Z42" s="78">
        <v>1</v>
      </c>
      <c r="AA42" s="78">
        <v>4</v>
      </c>
      <c r="AB42" s="78">
        <v>2</v>
      </c>
      <c r="AC42" s="78">
        <v>5</v>
      </c>
      <c r="AD42" s="78">
        <v>12</v>
      </c>
      <c r="AE42" s="78">
        <v>71</v>
      </c>
      <c r="AF42" s="78">
        <v>0</v>
      </c>
      <c r="AG42" s="78">
        <v>0</v>
      </c>
      <c r="AH42" s="78">
        <v>0</v>
      </c>
      <c r="AI42" s="78">
        <v>0</v>
      </c>
      <c r="AJ42" s="78">
        <v>3</v>
      </c>
      <c r="AK42" s="78">
        <v>2</v>
      </c>
      <c r="AL42" s="78">
        <v>0</v>
      </c>
      <c r="AM42" s="78">
        <v>29</v>
      </c>
    </row>
    <row r="43" spans="2:39" x14ac:dyDescent="0.35">
      <c r="B43" t="str">
        <f t="shared" si="5"/>
        <v>Southern California-9</v>
      </c>
      <c r="C43" t="str">
        <f t="shared" si="6"/>
        <v>Dec 2025-Southern California-9</v>
      </c>
      <c r="D43">
        <f t="shared" si="0"/>
        <v>9</v>
      </c>
      <c r="E43">
        <f t="shared" si="7"/>
        <v>9.0299999999999994</v>
      </c>
      <c r="F43">
        <f t="shared" si="8"/>
        <v>3</v>
      </c>
      <c r="G43">
        <f t="shared" si="9"/>
        <v>9</v>
      </c>
      <c r="H43" t="str">
        <f>IF(V43="","",IFERROR(VLOOKUP(TRIM($V43),KEY!$B$2:$F$72,3,FALSE),""))</f>
        <v>Southern California</v>
      </c>
      <c r="I43" t="str">
        <f t="shared" si="10"/>
        <v>WEST-47</v>
      </c>
      <c r="J43" t="str">
        <f t="shared" si="11"/>
        <v>Dec 2025-WEST-47</v>
      </c>
      <c r="K43">
        <f t="shared" si="1"/>
        <v>47</v>
      </c>
      <c r="L43">
        <f t="shared" si="12"/>
        <v>47.14</v>
      </c>
      <c r="M43">
        <f>IF(V43="","",IFERROR(VLOOKUP(TRIM($V43),KEY!$B$2:$F$72,5,FALSE),""))</f>
        <v>14</v>
      </c>
      <c r="N43">
        <f t="shared" si="2"/>
        <v>47</v>
      </c>
      <c r="O43" t="str">
        <f t="shared" si="13"/>
        <v>BMW-8</v>
      </c>
      <c r="P43">
        <f t="shared" si="14"/>
        <v>8</v>
      </c>
      <c r="Q43">
        <f t="shared" si="15"/>
        <v>8.0399999999999991</v>
      </c>
      <c r="R43">
        <f t="shared" si="3"/>
        <v>4</v>
      </c>
      <c r="S43">
        <f t="shared" si="4"/>
        <v>8</v>
      </c>
      <c r="T43" t="str">
        <f>IF(V43="","",IFERROR(VLOOKUP(TRIM($V43),KEY!$B$2:$F$72,2,FALSE),""))</f>
        <v>BMW</v>
      </c>
      <c r="V43" s="78" t="s">
        <v>185</v>
      </c>
      <c r="W43" s="78">
        <v>15</v>
      </c>
      <c r="X43" s="78">
        <v>2</v>
      </c>
      <c r="Y43" s="78">
        <v>13</v>
      </c>
      <c r="Z43" s="78">
        <v>0</v>
      </c>
      <c r="AA43" s="78">
        <v>2</v>
      </c>
      <c r="AB43" s="78">
        <v>1</v>
      </c>
      <c r="AC43" s="78">
        <v>4</v>
      </c>
      <c r="AD43" s="78">
        <v>7</v>
      </c>
      <c r="AE43" s="78">
        <v>47</v>
      </c>
      <c r="AF43" s="78">
        <v>0</v>
      </c>
      <c r="AG43" s="78">
        <v>2</v>
      </c>
      <c r="AH43" s="78">
        <v>0</v>
      </c>
      <c r="AI43" s="78">
        <v>13</v>
      </c>
      <c r="AJ43" s="78">
        <v>1</v>
      </c>
      <c r="AK43" s="78">
        <v>5</v>
      </c>
      <c r="AL43" s="78">
        <v>0</v>
      </c>
      <c r="AM43" s="78">
        <v>40</v>
      </c>
    </row>
    <row r="44" spans="2:39" x14ac:dyDescent="0.35">
      <c r="B44" t="str">
        <f t="shared" si="5"/>
        <v>Southern California-2</v>
      </c>
      <c r="C44" t="str">
        <f t="shared" si="6"/>
        <v>Dec 2025-Southern California-2</v>
      </c>
      <c r="D44">
        <f t="shared" si="0"/>
        <v>2</v>
      </c>
      <c r="E44">
        <f t="shared" si="7"/>
        <v>2.04</v>
      </c>
      <c r="F44">
        <f t="shared" si="8"/>
        <v>4</v>
      </c>
      <c r="G44">
        <f t="shared" si="9"/>
        <v>2</v>
      </c>
      <c r="H44" t="str">
        <f>IF(V44="","",IFERROR(VLOOKUP(TRIM($V44),KEY!$B$2:$F$72,3,FALSE),""))</f>
        <v>Southern California</v>
      </c>
      <c r="I44" t="str">
        <f t="shared" si="10"/>
        <v>WEST-14</v>
      </c>
      <c r="J44" t="str">
        <f t="shared" si="11"/>
        <v>Dec 2025-WEST-14</v>
      </c>
      <c r="K44">
        <f t="shared" si="1"/>
        <v>14</v>
      </c>
      <c r="L44">
        <f t="shared" si="12"/>
        <v>14.16</v>
      </c>
      <c r="M44">
        <f>IF(V44="","",IFERROR(VLOOKUP(TRIM($V44),KEY!$B$2:$F$72,5,FALSE),""))</f>
        <v>16</v>
      </c>
      <c r="N44">
        <f t="shared" si="2"/>
        <v>14</v>
      </c>
      <c r="O44" t="str">
        <f t="shared" si="13"/>
        <v>BMW-4</v>
      </c>
      <c r="P44">
        <f t="shared" si="14"/>
        <v>4</v>
      </c>
      <c r="Q44">
        <f t="shared" si="15"/>
        <v>4.0599999999999996</v>
      </c>
      <c r="R44">
        <f t="shared" si="3"/>
        <v>6</v>
      </c>
      <c r="S44">
        <f t="shared" si="4"/>
        <v>4</v>
      </c>
      <c r="T44" t="str">
        <f>IF(V44="","",IFERROR(VLOOKUP(TRIM($V44),KEY!$B$2:$F$72,2,FALSE),""))</f>
        <v>BMW</v>
      </c>
      <c r="V44" s="78" t="s">
        <v>186</v>
      </c>
      <c r="W44" s="78">
        <v>50</v>
      </c>
      <c r="X44" s="78">
        <v>23</v>
      </c>
      <c r="Y44" s="78">
        <v>46</v>
      </c>
      <c r="Z44" s="78">
        <v>6</v>
      </c>
      <c r="AA44" s="78">
        <v>23</v>
      </c>
      <c r="AB44" s="78">
        <v>4</v>
      </c>
      <c r="AC44" s="78">
        <v>8</v>
      </c>
      <c r="AD44" s="78">
        <v>41</v>
      </c>
      <c r="AE44" s="78">
        <v>82</v>
      </c>
      <c r="AF44" s="78">
        <v>3</v>
      </c>
      <c r="AG44" s="78">
        <v>0</v>
      </c>
      <c r="AH44" s="78">
        <v>0</v>
      </c>
      <c r="AI44" s="78">
        <v>6</v>
      </c>
      <c r="AJ44" s="78">
        <v>4</v>
      </c>
      <c r="AK44" s="78">
        <v>2</v>
      </c>
      <c r="AL44" s="78">
        <v>0</v>
      </c>
      <c r="AM44" s="78">
        <v>12</v>
      </c>
    </row>
    <row r="45" spans="2:39" x14ac:dyDescent="0.35">
      <c r="B45" t="str">
        <f t="shared" si="5"/>
        <v>Southern California-3</v>
      </c>
      <c r="C45" t="str">
        <f t="shared" si="6"/>
        <v>Dec 2025-Southern California-3</v>
      </c>
      <c r="D45">
        <f t="shared" si="0"/>
        <v>3</v>
      </c>
      <c r="E45">
        <f t="shared" si="7"/>
        <v>3.09</v>
      </c>
      <c r="F45">
        <f t="shared" si="8"/>
        <v>9</v>
      </c>
      <c r="G45">
        <f t="shared" si="9"/>
        <v>3</v>
      </c>
      <c r="H45" t="str">
        <f>IF(V45="","",IFERROR(VLOOKUP(TRIM($V45),KEY!$B$2:$F$72,3,FALSE),""))</f>
        <v>Southern California</v>
      </c>
      <c r="I45" t="str">
        <f t="shared" si="10"/>
        <v>WEST-20</v>
      </c>
      <c r="J45" t="str">
        <f t="shared" si="11"/>
        <v>Dec 2025-WEST-20</v>
      </c>
      <c r="K45">
        <f t="shared" si="1"/>
        <v>20</v>
      </c>
      <c r="L45">
        <f t="shared" si="12"/>
        <v>20.38</v>
      </c>
      <c r="M45">
        <f>IF(V45="","",IFERROR(VLOOKUP(TRIM($V45),KEY!$B$2:$F$72,5,FALSE),""))</f>
        <v>38</v>
      </c>
      <c r="N45">
        <f t="shared" si="2"/>
        <v>20</v>
      </c>
      <c r="O45" t="str">
        <f t="shared" si="13"/>
        <v>Mercedes-Benz-2</v>
      </c>
      <c r="P45">
        <f t="shared" si="14"/>
        <v>2</v>
      </c>
      <c r="Q45">
        <f t="shared" si="15"/>
        <v>2.0299999999999998</v>
      </c>
      <c r="R45">
        <f t="shared" si="3"/>
        <v>3</v>
      </c>
      <c r="S45">
        <f t="shared" si="4"/>
        <v>2</v>
      </c>
      <c r="T45" t="str">
        <f>IF(V45="","",IFERROR(VLOOKUP(TRIM($V45),KEY!$B$2:$F$72,2,FALSE),""))</f>
        <v>Mercedes-Benz</v>
      </c>
      <c r="V45" s="78" t="s">
        <v>187</v>
      </c>
      <c r="W45" s="78">
        <v>24</v>
      </c>
      <c r="X45" s="78">
        <v>10</v>
      </c>
      <c r="Y45" s="78">
        <v>42</v>
      </c>
      <c r="Z45" s="78">
        <v>1</v>
      </c>
      <c r="AA45" s="78">
        <v>10</v>
      </c>
      <c r="AB45" s="78">
        <v>1</v>
      </c>
      <c r="AC45" s="78">
        <v>3</v>
      </c>
      <c r="AD45" s="78">
        <v>15</v>
      </c>
      <c r="AE45" s="78">
        <v>63</v>
      </c>
      <c r="AF45" s="78">
        <v>4</v>
      </c>
      <c r="AG45" s="78">
        <v>0</v>
      </c>
      <c r="AH45" s="78">
        <v>0</v>
      </c>
      <c r="AI45" s="78">
        <v>17</v>
      </c>
      <c r="AJ45" s="78">
        <v>4</v>
      </c>
      <c r="AK45" s="78">
        <v>1</v>
      </c>
      <c r="AL45" s="78">
        <v>0</v>
      </c>
      <c r="AM45" s="78">
        <v>21</v>
      </c>
    </row>
    <row r="46" spans="2:39" x14ac:dyDescent="0.35">
      <c r="B46" t="str">
        <f t="shared" si="5"/>
        <v>Southern California-6</v>
      </c>
      <c r="C46" t="str">
        <f t="shared" si="6"/>
        <v>Dec 2025-Southern California-6</v>
      </c>
      <c r="D46">
        <f t="shared" si="0"/>
        <v>6</v>
      </c>
      <c r="E46">
        <f t="shared" si="7"/>
        <v>6.02</v>
      </c>
      <c r="F46">
        <f t="shared" si="8"/>
        <v>2</v>
      </c>
      <c r="G46">
        <f t="shared" si="9"/>
        <v>6</v>
      </c>
      <c r="H46" t="str">
        <f>IF(V46="","",IFERROR(VLOOKUP(TRIM($V46),KEY!$B$2:$F$72,3,FALSE),""))</f>
        <v>Southern California</v>
      </c>
      <c r="I46" t="str">
        <f t="shared" si="10"/>
        <v>WEST-30</v>
      </c>
      <c r="J46" t="str">
        <f t="shared" si="11"/>
        <v>Dec 2025-WEST-30</v>
      </c>
      <c r="K46">
        <f t="shared" si="1"/>
        <v>30</v>
      </c>
      <c r="L46">
        <f t="shared" si="12"/>
        <v>30.04</v>
      </c>
      <c r="M46">
        <f>IF(V46="","",IFERROR(VLOOKUP(TRIM($V46),KEY!$B$2:$F$72,5,FALSE),""))</f>
        <v>4</v>
      </c>
      <c r="N46">
        <f t="shared" si="2"/>
        <v>30</v>
      </c>
      <c r="O46" t="str">
        <f t="shared" si="13"/>
        <v>Audi-2</v>
      </c>
      <c r="P46">
        <f t="shared" si="14"/>
        <v>2</v>
      </c>
      <c r="Q46">
        <f t="shared" si="15"/>
        <v>2.02</v>
      </c>
      <c r="R46">
        <f t="shared" si="3"/>
        <v>2</v>
      </c>
      <c r="S46">
        <f t="shared" si="4"/>
        <v>2</v>
      </c>
      <c r="T46" t="str">
        <f>IF(V46="","",IFERROR(VLOOKUP(TRIM($V46),KEY!$B$2:$F$72,2,FALSE),""))</f>
        <v>Audi</v>
      </c>
      <c r="V46" s="78" t="s">
        <v>188</v>
      </c>
      <c r="W46" s="78">
        <v>10</v>
      </c>
      <c r="X46" s="78">
        <v>3</v>
      </c>
      <c r="Y46" s="78">
        <v>30</v>
      </c>
      <c r="Z46" s="78">
        <v>0</v>
      </c>
      <c r="AA46" s="78">
        <v>3</v>
      </c>
      <c r="AB46" s="78">
        <v>2</v>
      </c>
      <c r="AC46" s="78">
        <v>3</v>
      </c>
      <c r="AD46" s="78">
        <v>8</v>
      </c>
      <c r="AE46" s="78">
        <v>80</v>
      </c>
      <c r="AF46" s="78">
        <v>0</v>
      </c>
      <c r="AG46" s="78">
        <v>0</v>
      </c>
      <c r="AH46" s="78">
        <v>1</v>
      </c>
      <c r="AI46" s="78">
        <v>10</v>
      </c>
      <c r="AJ46" s="78">
        <v>1</v>
      </c>
      <c r="AK46" s="78">
        <v>0</v>
      </c>
      <c r="AL46" s="78">
        <v>0</v>
      </c>
      <c r="AM46" s="78">
        <v>10</v>
      </c>
    </row>
    <row r="47" spans="2:39" x14ac:dyDescent="0.35">
      <c r="B47" t="str">
        <f t="shared" si="5"/>
        <v>Southern California-4</v>
      </c>
      <c r="C47" t="str">
        <f t="shared" si="6"/>
        <v>Dec 2025-Southern California-4</v>
      </c>
      <c r="D47">
        <f t="shared" si="0"/>
        <v>4</v>
      </c>
      <c r="E47">
        <f t="shared" si="7"/>
        <v>4.0999999999999996</v>
      </c>
      <c r="F47">
        <f t="shared" si="8"/>
        <v>10</v>
      </c>
      <c r="G47">
        <f t="shared" si="9"/>
        <v>4</v>
      </c>
      <c r="H47" t="str">
        <f>IF(V47="","",IFERROR(VLOOKUP(TRIM($V47),KEY!$B$2:$F$72,3,FALSE),""))</f>
        <v>Southern California</v>
      </c>
      <c r="I47" t="str">
        <f t="shared" si="10"/>
        <v>WEST-23</v>
      </c>
      <c r="J47" t="str">
        <f t="shared" si="11"/>
        <v>Dec 2025-WEST-23</v>
      </c>
      <c r="K47">
        <f t="shared" si="1"/>
        <v>23</v>
      </c>
      <c r="L47">
        <f t="shared" si="12"/>
        <v>23.43</v>
      </c>
      <c r="M47">
        <f>IF(V47="","",IFERROR(VLOOKUP(TRIM($V47),KEY!$B$2:$F$72,5,FALSE),""))</f>
        <v>43</v>
      </c>
      <c r="N47">
        <f t="shared" si="2"/>
        <v>23</v>
      </c>
      <c r="O47" t="str">
        <f t="shared" si="13"/>
        <v>MINI-3</v>
      </c>
      <c r="P47">
        <f t="shared" si="14"/>
        <v>3</v>
      </c>
      <c r="Q47">
        <f t="shared" si="15"/>
        <v>3.05</v>
      </c>
      <c r="R47">
        <f t="shared" si="3"/>
        <v>5</v>
      </c>
      <c r="S47">
        <f t="shared" si="4"/>
        <v>3</v>
      </c>
      <c r="T47" t="str">
        <f>IF(V47="","",IFERROR(VLOOKUP(TRIM($V47),KEY!$B$2:$F$72,2,FALSE),""))</f>
        <v>MINI</v>
      </c>
      <c r="V47" s="78" t="s">
        <v>189</v>
      </c>
      <c r="W47" s="78">
        <v>10</v>
      </c>
      <c r="X47" s="78">
        <v>4</v>
      </c>
      <c r="Y47" s="78">
        <v>40</v>
      </c>
      <c r="Z47" s="78">
        <v>0</v>
      </c>
      <c r="AA47" s="78">
        <v>4</v>
      </c>
      <c r="AB47" s="78">
        <v>0</v>
      </c>
      <c r="AC47" s="78">
        <v>1</v>
      </c>
      <c r="AD47" s="78">
        <v>5</v>
      </c>
      <c r="AE47" s="78">
        <v>50</v>
      </c>
      <c r="AF47" s="78">
        <v>2</v>
      </c>
      <c r="AG47" s="78">
        <v>0</v>
      </c>
      <c r="AH47" s="78">
        <v>0</v>
      </c>
      <c r="AI47" s="78">
        <v>20</v>
      </c>
      <c r="AJ47" s="78">
        <v>0</v>
      </c>
      <c r="AK47" s="78">
        <v>3</v>
      </c>
      <c r="AL47" s="78">
        <v>0</v>
      </c>
      <c r="AM47" s="78">
        <v>30</v>
      </c>
    </row>
    <row r="48" spans="2:39" x14ac:dyDescent="0.35">
      <c r="B48" t="str">
        <f t="shared" si="5"/>
        <v>Texas-7</v>
      </c>
      <c r="C48" t="str">
        <f t="shared" si="6"/>
        <v>Dec 2025-Texas-7</v>
      </c>
      <c r="D48">
        <f t="shared" si="0"/>
        <v>7</v>
      </c>
      <c r="E48">
        <f t="shared" si="7"/>
        <v>7.06</v>
      </c>
      <c r="F48">
        <f t="shared" si="8"/>
        <v>6</v>
      </c>
      <c r="G48">
        <f t="shared" si="9"/>
        <v>7</v>
      </c>
      <c r="H48" t="str">
        <f>IF(V48="","",IFERROR(VLOOKUP(TRIM($V48),KEY!$B$2:$F$72,3,FALSE),""))</f>
        <v>Texas</v>
      </c>
      <c r="I48" t="str">
        <f t="shared" si="10"/>
        <v>WEST-34</v>
      </c>
      <c r="J48" t="str">
        <f t="shared" si="11"/>
        <v>Dec 2025-WEST-34</v>
      </c>
      <c r="K48">
        <f t="shared" si="1"/>
        <v>34</v>
      </c>
      <c r="L48">
        <f t="shared" si="12"/>
        <v>34.520000000000003</v>
      </c>
      <c r="M48">
        <f>IF(V48="","",IFERROR(VLOOKUP(TRIM($V48),KEY!$B$2:$F$72,5,FALSE),""))</f>
        <v>52</v>
      </c>
      <c r="N48">
        <f t="shared" si="2"/>
        <v>34</v>
      </c>
      <c r="O48" t="str">
        <f t="shared" si="13"/>
        <v>Honda-5</v>
      </c>
      <c r="P48">
        <f t="shared" si="14"/>
        <v>5</v>
      </c>
      <c r="Q48">
        <f t="shared" si="15"/>
        <v>5.0599999999999996</v>
      </c>
      <c r="R48">
        <f t="shared" si="3"/>
        <v>6</v>
      </c>
      <c r="S48">
        <f t="shared" si="4"/>
        <v>5</v>
      </c>
      <c r="T48" t="str">
        <f>IF(V48="","",IFERROR(VLOOKUP(TRIM($V48),KEY!$B$2:$F$72,2,FALSE),""))</f>
        <v>Honda</v>
      </c>
      <c r="V48" s="78" t="s">
        <v>190</v>
      </c>
      <c r="W48" s="78">
        <v>27</v>
      </c>
      <c r="X48" s="78">
        <v>7</v>
      </c>
      <c r="Y48" s="78">
        <v>26</v>
      </c>
      <c r="Z48" s="78">
        <v>3</v>
      </c>
      <c r="AA48" s="78">
        <v>7</v>
      </c>
      <c r="AB48" s="78">
        <v>0</v>
      </c>
      <c r="AC48" s="78">
        <v>9</v>
      </c>
      <c r="AD48" s="78">
        <v>19</v>
      </c>
      <c r="AE48" s="78">
        <v>70</v>
      </c>
      <c r="AF48" s="78">
        <v>0</v>
      </c>
      <c r="AG48" s="78">
        <v>0</v>
      </c>
      <c r="AH48" s="78">
        <v>0</v>
      </c>
      <c r="AI48" s="78">
        <v>0</v>
      </c>
      <c r="AJ48" s="78">
        <v>1</v>
      </c>
      <c r="AK48" s="78">
        <v>7</v>
      </c>
      <c r="AL48" s="78">
        <v>0</v>
      </c>
      <c r="AM48" s="78">
        <v>30</v>
      </c>
    </row>
    <row r="49" spans="2:39" x14ac:dyDescent="0.35">
      <c r="B49" t="str">
        <f t="shared" si="5"/>
        <v>Texas-3</v>
      </c>
      <c r="C49" t="str">
        <f t="shared" si="6"/>
        <v>Dec 2025-Texas-3</v>
      </c>
      <c r="D49">
        <f t="shared" si="0"/>
        <v>3</v>
      </c>
      <c r="E49">
        <f t="shared" si="7"/>
        <v>3.02</v>
      </c>
      <c r="F49">
        <f t="shared" si="8"/>
        <v>2</v>
      </c>
      <c r="G49">
        <f t="shared" si="9"/>
        <v>3</v>
      </c>
      <c r="H49" t="str">
        <f>IF(V49="","",IFERROR(VLOOKUP(TRIM($V49),KEY!$B$2:$F$72,3,FALSE),""))</f>
        <v>Texas</v>
      </c>
      <c r="I49" t="str">
        <f t="shared" si="10"/>
        <v>WEST-5</v>
      </c>
      <c r="J49" t="str">
        <f t="shared" si="11"/>
        <v>Dec 2025-WEST-5</v>
      </c>
      <c r="K49">
        <f t="shared" si="1"/>
        <v>5</v>
      </c>
      <c r="L49">
        <f t="shared" si="12"/>
        <v>5.23</v>
      </c>
      <c r="M49">
        <f>IF(V49="","",IFERROR(VLOOKUP(TRIM($V49),KEY!$B$2:$F$72,5,FALSE),""))</f>
        <v>23</v>
      </c>
      <c r="N49">
        <f t="shared" si="2"/>
        <v>5</v>
      </c>
      <c r="O49" t="str">
        <f t="shared" si="13"/>
        <v>Honda-1</v>
      </c>
      <c r="P49">
        <f t="shared" si="14"/>
        <v>1</v>
      </c>
      <c r="Q49">
        <f t="shared" si="15"/>
        <v>1.02</v>
      </c>
      <c r="R49">
        <f t="shared" si="3"/>
        <v>2</v>
      </c>
      <c r="S49">
        <f t="shared" si="4"/>
        <v>1</v>
      </c>
      <c r="T49" t="str">
        <f>IF(V49="","",IFERROR(VLOOKUP(TRIM($V49),KEY!$B$2:$F$72,2,FALSE),""))</f>
        <v>Honda</v>
      </c>
      <c r="V49" s="78" t="s">
        <v>191</v>
      </c>
      <c r="W49" s="78">
        <v>8</v>
      </c>
      <c r="X49" s="78">
        <v>4</v>
      </c>
      <c r="Y49" s="78">
        <v>50</v>
      </c>
      <c r="Z49" s="78">
        <v>0</v>
      </c>
      <c r="AA49" s="78">
        <v>4</v>
      </c>
      <c r="AB49" s="78">
        <v>0</v>
      </c>
      <c r="AC49" s="78">
        <v>1</v>
      </c>
      <c r="AD49" s="78">
        <v>5</v>
      </c>
      <c r="AE49" s="78">
        <v>63</v>
      </c>
      <c r="AF49" s="78">
        <v>0</v>
      </c>
      <c r="AG49" s="78">
        <v>2</v>
      </c>
      <c r="AH49" s="78">
        <v>0</v>
      </c>
      <c r="AI49" s="78">
        <v>25</v>
      </c>
      <c r="AJ49" s="78">
        <v>1</v>
      </c>
      <c r="AK49" s="78">
        <v>0</v>
      </c>
      <c r="AL49" s="78">
        <v>0</v>
      </c>
      <c r="AM49" s="78">
        <v>13</v>
      </c>
    </row>
    <row r="50" spans="2:39" x14ac:dyDescent="0.35">
      <c r="B50" t="str">
        <f t="shared" si="5"/>
        <v>Texas-4</v>
      </c>
      <c r="C50" t="str">
        <f t="shared" si="6"/>
        <v>Dec 2025-Texas-4</v>
      </c>
      <c r="D50">
        <f t="shared" si="0"/>
        <v>4</v>
      </c>
      <c r="E50">
        <f t="shared" si="7"/>
        <v>3.03</v>
      </c>
      <c r="F50">
        <f t="shared" si="8"/>
        <v>3</v>
      </c>
      <c r="G50">
        <f t="shared" si="9"/>
        <v>3</v>
      </c>
      <c r="H50" t="str">
        <f>IF(V50="","",IFERROR(VLOOKUP(TRIM($V50),KEY!$B$2:$F$72,3,FALSE),""))</f>
        <v>Texas</v>
      </c>
      <c r="I50" t="str">
        <f t="shared" si="10"/>
        <v>WEST-7</v>
      </c>
      <c r="J50" t="str">
        <f t="shared" si="11"/>
        <v>Dec 2025-WEST-7</v>
      </c>
      <c r="K50">
        <f t="shared" si="1"/>
        <v>7</v>
      </c>
      <c r="L50">
        <f t="shared" si="12"/>
        <v>5.3</v>
      </c>
      <c r="M50">
        <f>IF(V50="","",IFERROR(VLOOKUP(TRIM($V50),KEY!$B$2:$F$72,5,FALSE),""))</f>
        <v>30</v>
      </c>
      <c r="N50">
        <f t="shared" si="2"/>
        <v>5</v>
      </c>
      <c r="O50" t="str">
        <f t="shared" si="13"/>
        <v>Lexus-2</v>
      </c>
      <c r="P50">
        <f t="shared" si="14"/>
        <v>2</v>
      </c>
      <c r="Q50">
        <f t="shared" si="15"/>
        <v>2.0099999999999998</v>
      </c>
      <c r="R50">
        <f t="shared" si="3"/>
        <v>1</v>
      </c>
      <c r="S50">
        <f t="shared" si="4"/>
        <v>2</v>
      </c>
      <c r="T50" t="str">
        <f>IF(V50="","",IFERROR(VLOOKUP(TRIM($V50),KEY!$B$2:$F$72,2,FALSE),""))</f>
        <v>Lexus</v>
      </c>
      <c r="V50" s="78" t="s">
        <v>192</v>
      </c>
      <c r="W50" s="78">
        <v>14</v>
      </c>
      <c r="X50" s="78">
        <v>7</v>
      </c>
      <c r="Y50" s="78">
        <v>50</v>
      </c>
      <c r="Z50" s="78">
        <v>1</v>
      </c>
      <c r="AA50" s="78">
        <v>7</v>
      </c>
      <c r="AB50" s="78">
        <v>0</v>
      </c>
      <c r="AC50" s="78">
        <v>3</v>
      </c>
      <c r="AD50" s="78">
        <v>11</v>
      </c>
      <c r="AE50" s="78">
        <v>79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3</v>
      </c>
      <c r="AL50" s="78">
        <v>0</v>
      </c>
      <c r="AM50" s="78">
        <v>21</v>
      </c>
    </row>
    <row r="51" spans="2:39" x14ac:dyDescent="0.35">
      <c r="B51" t="str">
        <f t="shared" si="5"/>
        <v>Texas-1</v>
      </c>
      <c r="C51" t="str">
        <f t="shared" si="6"/>
        <v>Dec 2025-Texas-1</v>
      </c>
      <c r="D51">
        <f t="shared" si="0"/>
        <v>1</v>
      </c>
      <c r="E51">
        <f t="shared" si="7"/>
        <v>1.04</v>
      </c>
      <c r="F51">
        <f t="shared" si="8"/>
        <v>4</v>
      </c>
      <c r="G51">
        <f t="shared" si="9"/>
        <v>1</v>
      </c>
      <c r="H51" t="str">
        <f>IF(V51="","",IFERROR(VLOOKUP(TRIM($V51),KEY!$B$2:$F$72,3,FALSE),""))</f>
        <v>Texas</v>
      </c>
      <c r="I51" t="str">
        <f t="shared" si="10"/>
        <v>WEST-3</v>
      </c>
      <c r="J51" t="str">
        <f t="shared" si="11"/>
        <v>Dec 2025-WEST-3</v>
      </c>
      <c r="K51">
        <f t="shared" si="1"/>
        <v>3</v>
      </c>
      <c r="L51">
        <f t="shared" si="12"/>
        <v>3.32</v>
      </c>
      <c r="M51">
        <f>IF(V51="","",IFERROR(VLOOKUP(TRIM($V51),KEY!$B$2:$F$72,5,FALSE),""))</f>
        <v>32</v>
      </c>
      <c r="N51">
        <f t="shared" si="2"/>
        <v>3</v>
      </c>
      <c r="O51" t="str">
        <f t="shared" si="13"/>
        <v>Lexus-1</v>
      </c>
      <c r="P51">
        <f t="shared" si="14"/>
        <v>1</v>
      </c>
      <c r="Q51">
        <f t="shared" si="15"/>
        <v>1.03</v>
      </c>
      <c r="R51">
        <f t="shared" si="3"/>
        <v>3</v>
      </c>
      <c r="S51">
        <f t="shared" si="4"/>
        <v>1</v>
      </c>
      <c r="T51" t="str">
        <f>IF(V51="","",IFERROR(VLOOKUP(TRIM($V51),KEY!$B$2:$F$72,2,FALSE),""))</f>
        <v>Lexus</v>
      </c>
      <c r="V51" s="78" t="s">
        <v>193</v>
      </c>
      <c r="W51" s="78">
        <v>10</v>
      </c>
      <c r="X51" s="78">
        <v>6</v>
      </c>
      <c r="Y51" s="78">
        <v>60</v>
      </c>
      <c r="Z51" s="78">
        <v>1</v>
      </c>
      <c r="AA51" s="78">
        <v>6</v>
      </c>
      <c r="AB51" s="78">
        <v>0</v>
      </c>
      <c r="AC51" s="78">
        <v>2</v>
      </c>
      <c r="AD51" s="78">
        <v>9</v>
      </c>
      <c r="AE51" s="78">
        <v>90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1</v>
      </c>
      <c r="AL51" s="78">
        <v>0</v>
      </c>
      <c r="AM51" s="78">
        <v>10</v>
      </c>
    </row>
    <row r="52" spans="2:39" x14ac:dyDescent="0.35">
      <c r="B52" t="str">
        <f t="shared" si="5"/>
        <v>Texas-2</v>
      </c>
      <c r="C52" t="str">
        <f t="shared" si="6"/>
        <v>Dec 2025-Texas-2</v>
      </c>
      <c r="D52">
        <f t="shared" si="0"/>
        <v>2</v>
      </c>
      <c r="E52">
        <f t="shared" si="7"/>
        <v>2.0099999999999998</v>
      </c>
      <c r="F52">
        <f t="shared" si="8"/>
        <v>1</v>
      </c>
      <c r="G52">
        <f t="shared" si="9"/>
        <v>2</v>
      </c>
      <c r="H52" t="str">
        <f>IF(V52="","",IFERROR(VLOOKUP(TRIM($V52),KEY!$B$2:$F$72,3,FALSE),""))</f>
        <v>Texas</v>
      </c>
      <c r="I52" t="str">
        <f t="shared" si="10"/>
        <v>WEST-4</v>
      </c>
      <c r="J52" t="str">
        <f t="shared" si="11"/>
        <v>Dec 2025-WEST-4</v>
      </c>
      <c r="K52">
        <f t="shared" si="1"/>
        <v>4</v>
      </c>
      <c r="L52">
        <f t="shared" si="12"/>
        <v>4.12</v>
      </c>
      <c r="M52">
        <f>IF(V52="","",IFERROR(VLOOKUP(TRIM($V52),KEY!$B$2:$F$72,5,FALSE),""))</f>
        <v>12</v>
      </c>
      <c r="N52">
        <f t="shared" si="2"/>
        <v>4</v>
      </c>
      <c r="O52" t="str">
        <f t="shared" si="13"/>
        <v>BMW-2</v>
      </c>
      <c r="P52">
        <f t="shared" si="14"/>
        <v>2</v>
      </c>
      <c r="Q52">
        <f t="shared" si="15"/>
        <v>2.02</v>
      </c>
      <c r="R52">
        <f t="shared" si="3"/>
        <v>2</v>
      </c>
      <c r="S52">
        <f t="shared" si="4"/>
        <v>2</v>
      </c>
      <c r="T52" t="str">
        <f>IF(V52="","",IFERROR(VLOOKUP(TRIM($V52),KEY!$B$2:$F$72,2,FALSE),""))</f>
        <v>BMW</v>
      </c>
      <c r="V52" s="78" t="s">
        <v>194</v>
      </c>
      <c r="W52" s="78">
        <v>40</v>
      </c>
      <c r="X52" s="78">
        <v>23</v>
      </c>
      <c r="Y52" s="78">
        <v>58</v>
      </c>
      <c r="Z52" s="78">
        <v>1</v>
      </c>
      <c r="AA52" s="78">
        <v>23</v>
      </c>
      <c r="AB52" s="78">
        <v>2</v>
      </c>
      <c r="AC52" s="78">
        <v>6</v>
      </c>
      <c r="AD52" s="78">
        <v>32</v>
      </c>
      <c r="AE52" s="78">
        <v>80</v>
      </c>
      <c r="AF52" s="78">
        <v>0</v>
      </c>
      <c r="AG52" s="78">
        <v>0</v>
      </c>
      <c r="AH52" s="78">
        <v>0</v>
      </c>
      <c r="AI52" s="78">
        <v>0</v>
      </c>
      <c r="AJ52" s="78">
        <v>2</v>
      </c>
      <c r="AK52" s="78">
        <v>6</v>
      </c>
      <c r="AL52" s="78">
        <v>0</v>
      </c>
      <c r="AM52" s="78">
        <v>20</v>
      </c>
    </row>
    <row r="53" spans="2:39" x14ac:dyDescent="0.35">
      <c r="B53" t="str">
        <f t="shared" si="5"/>
        <v>Texas-5</v>
      </c>
      <c r="C53" t="str">
        <f t="shared" si="6"/>
        <v>Dec 2025-Texas-5</v>
      </c>
      <c r="D53">
        <f t="shared" si="0"/>
        <v>5</v>
      </c>
      <c r="E53">
        <f t="shared" si="7"/>
        <v>5.08</v>
      </c>
      <c r="F53">
        <f t="shared" si="8"/>
        <v>8</v>
      </c>
      <c r="G53">
        <f t="shared" si="9"/>
        <v>5</v>
      </c>
      <c r="H53" t="str">
        <f>IF(V53="","",IFERROR(VLOOKUP(TRIM($V53),KEY!$B$2:$F$72,3,FALSE),""))</f>
        <v>Texas</v>
      </c>
      <c r="I53" t="str">
        <f t="shared" si="10"/>
        <v>WEST-27</v>
      </c>
      <c r="J53" t="str">
        <f t="shared" si="11"/>
        <v>Dec 2025-WEST-27</v>
      </c>
      <c r="K53">
        <f t="shared" si="1"/>
        <v>27</v>
      </c>
      <c r="L53">
        <f t="shared" si="12"/>
        <v>26.54</v>
      </c>
      <c r="M53">
        <f>IF(V53="","",IFERROR(VLOOKUP(TRIM($V53),KEY!$B$2:$F$72,5,FALSE),""))</f>
        <v>54</v>
      </c>
      <c r="N53">
        <f t="shared" si="2"/>
        <v>26</v>
      </c>
      <c r="O53" t="str">
        <f t="shared" si="13"/>
        <v>Toyota-2</v>
      </c>
      <c r="P53">
        <f t="shared" si="14"/>
        <v>2</v>
      </c>
      <c r="Q53">
        <f t="shared" si="15"/>
        <v>2.0299999999999998</v>
      </c>
      <c r="R53">
        <f t="shared" si="3"/>
        <v>3</v>
      </c>
      <c r="S53">
        <f t="shared" si="4"/>
        <v>2</v>
      </c>
      <c r="T53" t="str">
        <f>IF(V53="","",IFERROR(VLOOKUP(TRIM($V53),KEY!$B$2:$F$72,2,FALSE),""))</f>
        <v>Toyota</v>
      </c>
      <c r="V53" s="78" t="s">
        <v>195</v>
      </c>
      <c r="W53" s="78">
        <v>3</v>
      </c>
      <c r="X53" s="78">
        <v>1</v>
      </c>
      <c r="Y53" s="78">
        <v>33</v>
      </c>
      <c r="Z53" s="78">
        <v>0</v>
      </c>
      <c r="AA53" s="78">
        <v>1</v>
      </c>
      <c r="AB53" s="78">
        <v>1</v>
      </c>
      <c r="AC53" s="78">
        <v>1</v>
      </c>
      <c r="AD53" s="78">
        <v>3</v>
      </c>
      <c r="AE53" s="78">
        <v>100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</row>
    <row r="54" spans="2:39" x14ac:dyDescent="0.35">
      <c r="B54" t="str">
        <f t="shared" si="5"/>
        <v>Texas-8</v>
      </c>
      <c r="C54" t="str">
        <f t="shared" si="6"/>
        <v>Dec 2025-Texas-8</v>
      </c>
      <c r="D54">
        <f t="shared" si="0"/>
        <v>8</v>
      </c>
      <c r="E54">
        <f t="shared" si="7"/>
        <v>8.07</v>
      </c>
      <c r="F54">
        <f t="shared" si="8"/>
        <v>7</v>
      </c>
      <c r="G54">
        <f t="shared" si="9"/>
        <v>8</v>
      </c>
      <c r="H54" t="str">
        <f>IF(V54="","",IFERROR(VLOOKUP(TRIM($V54),KEY!$B$2:$F$72,3,FALSE),""))</f>
        <v>Texas</v>
      </c>
      <c r="I54" t="str">
        <f t="shared" si="10"/>
        <v>WEST-42</v>
      </c>
      <c r="J54" t="str">
        <f t="shared" si="11"/>
        <v>Dec 2025-WEST-42</v>
      </c>
      <c r="K54">
        <f t="shared" si="1"/>
        <v>42</v>
      </c>
      <c r="L54">
        <f t="shared" si="12"/>
        <v>40.53</v>
      </c>
      <c r="M54">
        <f>IF(V54="","",IFERROR(VLOOKUP(TRIM($V54),KEY!$B$2:$F$72,5,FALSE),""))</f>
        <v>53</v>
      </c>
      <c r="N54">
        <f t="shared" si="2"/>
        <v>40</v>
      </c>
      <c r="O54" t="str">
        <f t="shared" si="13"/>
        <v>Hyundai-1</v>
      </c>
      <c r="P54">
        <f t="shared" si="14"/>
        <v>1</v>
      </c>
      <c r="Q54">
        <f t="shared" si="15"/>
        <v>1.01</v>
      </c>
      <c r="R54">
        <f t="shared" si="3"/>
        <v>1</v>
      </c>
      <c r="S54">
        <f t="shared" si="4"/>
        <v>1</v>
      </c>
      <c r="T54" t="str">
        <f>IF(V54="","",IFERROR(VLOOKUP(TRIM($V54),KEY!$B$2:$F$72,2,FALSE),""))</f>
        <v>Hyundai</v>
      </c>
      <c r="V54" s="78" t="s">
        <v>196</v>
      </c>
      <c r="W54" s="78">
        <v>5</v>
      </c>
      <c r="X54" s="78">
        <v>1</v>
      </c>
      <c r="Y54" s="78">
        <v>20</v>
      </c>
      <c r="Z54" s="78">
        <v>1</v>
      </c>
      <c r="AA54" s="78">
        <v>1</v>
      </c>
      <c r="AB54" s="78">
        <v>1</v>
      </c>
      <c r="AC54" s="78">
        <v>0</v>
      </c>
      <c r="AD54" s="78">
        <v>3</v>
      </c>
      <c r="AE54" s="78">
        <v>60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2</v>
      </c>
      <c r="AL54" s="78">
        <v>0</v>
      </c>
      <c r="AM54" s="78">
        <v>40</v>
      </c>
    </row>
    <row r="55" spans="2:39" x14ac:dyDescent="0.35">
      <c r="B55" t="str">
        <f t="shared" si="5"/>
        <v>Texas-6</v>
      </c>
      <c r="C55" t="str">
        <f t="shared" si="6"/>
        <v>Dec 2025-Texas-6</v>
      </c>
      <c r="D55">
        <f t="shared" si="0"/>
        <v>6</v>
      </c>
      <c r="E55">
        <f t="shared" si="7"/>
        <v>6.05</v>
      </c>
      <c r="F55">
        <f t="shared" si="8"/>
        <v>5</v>
      </c>
      <c r="G55">
        <f t="shared" si="9"/>
        <v>6</v>
      </c>
      <c r="H55" t="str">
        <f>IF(V55="","",IFERROR(VLOOKUP(TRIM($V55),KEY!$B$2:$F$72,3,FALSE),""))</f>
        <v>Texas</v>
      </c>
      <c r="I55" t="str">
        <f t="shared" si="10"/>
        <v>WEST-33</v>
      </c>
      <c r="J55" t="str">
        <f t="shared" si="11"/>
        <v>Dec 2025-WEST-33</v>
      </c>
      <c r="K55">
        <f t="shared" si="1"/>
        <v>33</v>
      </c>
      <c r="L55">
        <f t="shared" si="12"/>
        <v>32.4</v>
      </c>
      <c r="M55">
        <f>IF(V55="","",IFERROR(VLOOKUP(TRIM($V55),KEY!$B$2:$F$72,5,FALSE),""))</f>
        <v>40</v>
      </c>
      <c r="N55">
        <f t="shared" si="2"/>
        <v>32</v>
      </c>
      <c r="O55" t="str">
        <f t="shared" si="13"/>
        <v>MINI-5</v>
      </c>
      <c r="P55">
        <f t="shared" si="14"/>
        <v>5</v>
      </c>
      <c r="Q55">
        <f t="shared" si="15"/>
        <v>5.03</v>
      </c>
      <c r="R55">
        <f t="shared" si="3"/>
        <v>3</v>
      </c>
      <c r="S55">
        <f t="shared" si="4"/>
        <v>5</v>
      </c>
      <c r="T55" t="str">
        <f>IF(V55="","",IFERROR(VLOOKUP(TRIM($V55),KEY!$B$2:$F$72,2,FALSE),""))</f>
        <v>MINI</v>
      </c>
      <c r="V55" s="78" t="s">
        <v>197</v>
      </c>
      <c r="W55" s="78">
        <v>7</v>
      </c>
      <c r="X55" s="78">
        <v>2</v>
      </c>
      <c r="Y55" s="78">
        <v>29</v>
      </c>
      <c r="Z55" s="78">
        <v>0</v>
      </c>
      <c r="AA55" s="78">
        <v>2</v>
      </c>
      <c r="AB55" s="78">
        <v>0</v>
      </c>
      <c r="AC55" s="78">
        <v>3</v>
      </c>
      <c r="AD55" s="78">
        <v>5</v>
      </c>
      <c r="AE55" s="78">
        <v>71</v>
      </c>
      <c r="AF55" s="78">
        <v>0</v>
      </c>
      <c r="AG55" s="78">
        <v>0</v>
      </c>
      <c r="AH55" s="78">
        <v>0</v>
      </c>
      <c r="AI55" s="78">
        <v>0</v>
      </c>
      <c r="AJ55" s="78">
        <v>1</v>
      </c>
      <c r="AK55" s="78">
        <v>1</v>
      </c>
      <c r="AL55" s="78">
        <v>0</v>
      </c>
      <c r="AM55" s="78">
        <v>29</v>
      </c>
    </row>
    <row r="56" spans="2:39" x14ac:dyDescent="0.35">
      <c r="B56" t="str">
        <f t="shared" si="5"/>
        <v>Wisconsin-1</v>
      </c>
      <c r="C56" t="str">
        <f t="shared" si="6"/>
        <v>Dec 2025-Wisconsin-1</v>
      </c>
      <c r="D56">
        <f t="shared" si="0"/>
        <v>1</v>
      </c>
      <c r="E56">
        <f t="shared" si="7"/>
        <v>1.01</v>
      </c>
      <c r="F56">
        <f t="shared" si="8"/>
        <v>1</v>
      </c>
      <c r="G56">
        <f t="shared" si="9"/>
        <v>1</v>
      </c>
      <c r="H56" t="str">
        <f>IF(V56="","",IFERROR(VLOOKUP(TRIM($V56),KEY!$B$2:$F$72,3,FALSE),""))</f>
        <v>Wisconsin</v>
      </c>
      <c r="I56" t="str">
        <f t="shared" si="10"/>
        <v>WEST-45</v>
      </c>
      <c r="J56" t="str">
        <f t="shared" si="11"/>
        <v>Dec 2025-WEST-45</v>
      </c>
      <c r="K56">
        <f t="shared" si="1"/>
        <v>45</v>
      </c>
      <c r="L56">
        <f t="shared" si="12"/>
        <v>45.21</v>
      </c>
      <c r="M56">
        <f>IF(V56="","",IFERROR(VLOOKUP(TRIM($V56),KEY!$B$2:$F$72,5,FALSE),""))</f>
        <v>21</v>
      </c>
      <c r="N56">
        <f t="shared" si="2"/>
        <v>45</v>
      </c>
      <c r="O56" t="str">
        <f t="shared" si="13"/>
        <v>Toyota-4</v>
      </c>
      <c r="P56">
        <f t="shared" si="14"/>
        <v>4</v>
      </c>
      <c r="Q56">
        <f t="shared" si="15"/>
        <v>4.01</v>
      </c>
      <c r="R56">
        <f t="shared" si="3"/>
        <v>1</v>
      </c>
      <c r="S56">
        <f t="shared" si="4"/>
        <v>4</v>
      </c>
      <c r="T56" t="str">
        <f>IF(V56="","",IFERROR(VLOOKUP(TRIM($V56),KEY!$B$2:$F$72,2,FALSE),""))</f>
        <v>Toyota</v>
      </c>
      <c r="V56" s="78" t="s">
        <v>198</v>
      </c>
      <c r="W56" s="78">
        <v>7</v>
      </c>
      <c r="X56" s="78">
        <v>1</v>
      </c>
      <c r="Y56" s="78">
        <v>14</v>
      </c>
      <c r="Z56" s="78">
        <v>0</v>
      </c>
      <c r="AA56" s="78">
        <v>1</v>
      </c>
      <c r="AB56" s="78">
        <v>0</v>
      </c>
      <c r="AC56" s="78">
        <v>1</v>
      </c>
      <c r="AD56" s="78">
        <v>2</v>
      </c>
      <c r="AE56" s="78">
        <v>29</v>
      </c>
      <c r="AF56" s="78">
        <v>2</v>
      </c>
      <c r="AG56" s="78">
        <v>0</v>
      </c>
      <c r="AH56" s="78">
        <v>0</v>
      </c>
      <c r="AI56" s="78">
        <v>29</v>
      </c>
      <c r="AJ56" s="78">
        <v>0</v>
      </c>
      <c r="AK56" s="78">
        <v>3</v>
      </c>
      <c r="AL56" s="78">
        <v>0</v>
      </c>
      <c r="AM56" s="78">
        <v>43</v>
      </c>
    </row>
    <row r="57" spans="2:39" x14ac:dyDescent="0.35">
      <c r="B57" t="str">
        <f t="shared" si="5"/>
        <v>Michigan &amp; Minnesota-1</v>
      </c>
      <c r="C57" t="str">
        <f t="shared" si="6"/>
        <v>Dec 2025-Michigan &amp; Minnesota-1</v>
      </c>
      <c r="D57">
        <f t="shared" si="0"/>
        <v>1</v>
      </c>
      <c r="E57">
        <f t="shared" si="7"/>
        <v>1.02</v>
      </c>
      <c r="F57">
        <f t="shared" si="8"/>
        <v>2</v>
      </c>
      <c r="G57">
        <f t="shared" si="9"/>
        <v>1</v>
      </c>
      <c r="H57" t="str">
        <f>IF(V57="","",IFERROR(VLOOKUP(TRIM($V57),KEY!$B$2:$F$72,3,FALSE),""))</f>
        <v>Michigan &amp; Minnesota</v>
      </c>
      <c r="I57" t="str">
        <f t="shared" si="10"/>
        <v>WEST-2</v>
      </c>
      <c r="J57" t="str">
        <f t="shared" si="11"/>
        <v>Dec 2025-WEST-2</v>
      </c>
      <c r="K57">
        <f t="shared" si="1"/>
        <v>2</v>
      </c>
      <c r="L57">
        <f t="shared" si="12"/>
        <v>2.4500000000000002</v>
      </c>
      <c r="M57">
        <f>IF(V57="","",IFERROR(VLOOKUP(TRIM($V57),KEY!$B$2:$F$72,5,FALSE),""))</f>
        <v>45</v>
      </c>
      <c r="N57">
        <f t="shared" si="2"/>
        <v>2</v>
      </c>
      <c r="O57" t="str">
        <f t="shared" si="13"/>
        <v>BMW-1</v>
      </c>
      <c r="P57">
        <f t="shared" si="14"/>
        <v>1</v>
      </c>
      <c r="Q57">
        <f t="shared" si="15"/>
        <v>1.08</v>
      </c>
      <c r="R57">
        <f t="shared" si="3"/>
        <v>8</v>
      </c>
      <c r="S57">
        <f t="shared" si="4"/>
        <v>1</v>
      </c>
      <c r="T57" t="str">
        <f>IF(V57="","",IFERROR(VLOOKUP(TRIM($V57),KEY!$B$2:$F$72,2,FALSE),""))</f>
        <v>BMW</v>
      </c>
      <c r="V57" s="78" t="s">
        <v>199</v>
      </c>
      <c r="W57" s="78">
        <v>24</v>
      </c>
      <c r="X57" s="78">
        <v>16</v>
      </c>
      <c r="Y57" s="78">
        <v>67</v>
      </c>
      <c r="Z57" s="78">
        <v>0</v>
      </c>
      <c r="AA57" s="78">
        <v>16</v>
      </c>
      <c r="AB57" s="78">
        <v>0</v>
      </c>
      <c r="AC57" s="78">
        <v>5</v>
      </c>
      <c r="AD57" s="78">
        <v>21</v>
      </c>
      <c r="AE57" s="78">
        <v>88</v>
      </c>
      <c r="AF57" s="78">
        <v>0</v>
      </c>
      <c r="AG57" s="78">
        <v>0</v>
      </c>
      <c r="AH57" s="78">
        <v>0</v>
      </c>
      <c r="AI57" s="78">
        <v>0</v>
      </c>
      <c r="AJ57" s="78">
        <v>3</v>
      </c>
      <c r="AK57" s="78">
        <v>0</v>
      </c>
      <c r="AL57" s="78">
        <v>0</v>
      </c>
      <c r="AM57" s="78">
        <v>13</v>
      </c>
    </row>
    <row r="58" spans="2:39" x14ac:dyDescent="0.35">
      <c r="B58" t="str">
        <f t="shared" si="5"/>
        <v>Michigan &amp; Minnesota-3</v>
      </c>
      <c r="C58" t="str">
        <f t="shared" si="6"/>
        <v>Dec 2025-Michigan &amp; Minnesota-3</v>
      </c>
      <c r="D58">
        <f t="shared" si="0"/>
        <v>3</v>
      </c>
      <c r="E58">
        <f t="shared" si="7"/>
        <v>2.0299999999999998</v>
      </c>
      <c r="F58">
        <f t="shared" si="8"/>
        <v>3</v>
      </c>
      <c r="G58">
        <f t="shared" si="9"/>
        <v>2</v>
      </c>
      <c r="H58" t="str">
        <f>IF(V58="","",IFERROR(VLOOKUP(TRIM($V58),KEY!$B$2:$F$72,3,FALSE),""))</f>
        <v>Michigan &amp; Minnesota</v>
      </c>
      <c r="I58" t="str">
        <f t="shared" si="10"/>
        <v>WEST-54</v>
      </c>
      <c r="J58" t="str">
        <f t="shared" si="11"/>
        <v>Dec 2025-WEST-54</v>
      </c>
      <c r="K58">
        <f t="shared" si="1"/>
        <v>54</v>
      </c>
      <c r="L58">
        <f t="shared" si="12"/>
        <v>51.46</v>
      </c>
      <c r="M58">
        <f>IF(V58="","",IFERROR(VLOOKUP(TRIM($V58),KEY!$B$2:$F$72,5,FALSE),""))</f>
        <v>46</v>
      </c>
      <c r="N58">
        <f t="shared" si="2"/>
        <v>51</v>
      </c>
      <c r="O58" t="str">
        <f t="shared" si="13"/>
        <v>MINI-7</v>
      </c>
      <c r="P58">
        <f t="shared" si="14"/>
        <v>7</v>
      </c>
      <c r="Q58">
        <f t="shared" si="15"/>
        <v>7.07</v>
      </c>
      <c r="R58">
        <f t="shared" si="3"/>
        <v>7</v>
      </c>
      <c r="S58">
        <f t="shared" si="4"/>
        <v>7</v>
      </c>
      <c r="T58" t="str">
        <f>IF(V58="","",IFERROR(VLOOKUP(TRIM($V58),KEY!$B$2:$F$72,2,FALSE),""))</f>
        <v>MINI</v>
      </c>
      <c r="V58" s="78" t="s">
        <v>200</v>
      </c>
      <c r="W58" s="78">
        <v>1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1</v>
      </c>
      <c r="AI58" s="78">
        <v>100</v>
      </c>
      <c r="AJ58" s="78">
        <v>0</v>
      </c>
      <c r="AK58" s="78">
        <v>0</v>
      </c>
      <c r="AL58" s="78">
        <v>0</v>
      </c>
      <c r="AM58" s="78">
        <v>0</v>
      </c>
    </row>
    <row r="59" spans="2:39" x14ac:dyDescent="0.35">
      <c r="B59" t="str">
        <f t="shared" si="5"/>
        <v>Michigan &amp; Minnesota-2</v>
      </c>
      <c r="C59" t="str">
        <f t="shared" si="6"/>
        <v>Dec 2025-Michigan &amp; Minnesota-2</v>
      </c>
      <c r="D59">
        <f t="shared" si="0"/>
        <v>2</v>
      </c>
      <c r="E59">
        <f t="shared" si="7"/>
        <v>2.0099999999999998</v>
      </c>
      <c r="F59">
        <f t="shared" si="8"/>
        <v>1</v>
      </c>
      <c r="G59">
        <f t="shared" si="9"/>
        <v>2</v>
      </c>
      <c r="H59" t="str">
        <f>IF(V59="","",IFERROR(VLOOKUP(TRIM($V59),KEY!$B$2:$F$72,3,FALSE),""))</f>
        <v>Michigan &amp; Minnesota</v>
      </c>
      <c r="I59" t="str">
        <f t="shared" si="10"/>
        <v>WEST-52</v>
      </c>
      <c r="J59" t="str">
        <f t="shared" si="11"/>
        <v>Dec 2025-WEST-52</v>
      </c>
      <c r="K59">
        <f t="shared" si="1"/>
        <v>52</v>
      </c>
      <c r="L59">
        <f t="shared" si="12"/>
        <v>51.13</v>
      </c>
      <c r="M59">
        <f>IF(V59="","",IFERROR(VLOOKUP(TRIM($V59),KEY!$B$2:$F$72,5,FALSE),""))</f>
        <v>13</v>
      </c>
      <c r="N59">
        <f t="shared" si="2"/>
        <v>51</v>
      </c>
      <c r="O59" t="str">
        <f t="shared" si="13"/>
        <v>BMW-9</v>
      </c>
      <c r="P59">
        <f t="shared" si="14"/>
        <v>9</v>
      </c>
      <c r="Q59">
        <f t="shared" si="15"/>
        <v>9.0299999999999994</v>
      </c>
      <c r="R59">
        <f t="shared" si="3"/>
        <v>3</v>
      </c>
      <c r="S59">
        <f t="shared" si="4"/>
        <v>9</v>
      </c>
      <c r="T59" t="str">
        <f>IF(V59="","",IFERROR(VLOOKUP(TRIM($V59),KEY!$B$2:$F$72,2,FALSE),""))</f>
        <v>BMW</v>
      </c>
      <c r="V59" s="78" t="s">
        <v>201</v>
      </c>
      <c r="W59" s="78">
        <v>25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9</v>
      </c>
      <c r="AG59" s="78">
        <v>0</v>
      </c>
      <c r="AH59" s="78">
        <v>16</v>
      </c>
      <c r="AI59" s="78">
        <v>100</v>
      </c>
      <c r="AJ59" s="78">
        <v>0</v>
      </c>
      <c r="AK59" s="78">
        <v>0</v>
      </c>
      <c r="AL59" s="78">
        <v>0</v>
      </c>
      <c r="AM59" s="78">
        <v>0</v>
      </c>
    </row>
    <row r="60" spans="2:39" x14ac:dyDescent="0.35">
      <c r="B60" t="str">
        <f t="shared" si="5"/>
        <v/>
      </c>
      <c r="C60" t="str">
        <f t="shared" si="6"/>
        <v/>
      </c>
      <c r="D60" t="str">
        <f t="shared" si="0"/>
        <v/>
      </c>
      <c r="E60" t="str">
        <f t="shared" si="7"/>
        <v/>
      </c>
      <c r="F60" t="str">
        <f t="shared" si="8"/>
        <v/>
      </c>
      <c r="G60" t="str">
        <f t="shared" si="9"/>
        <v/>
      </c>
      <c r="H60" t="str">
        <f>IF(V60="","",IFERROR(VLOOKUP(TRIM($V60),KEY!$B$2:$F$72,3,FALSE),""))</f>
        <v/>
      </c>
      <c r="I60" t="str">
        <f t="shared" si="10"/>
        <v/>
      </c>
      <c r="J60" t="str">
        <f t="shared" si="11"/>
        <v/>
      </c>
      <c r="K60" t="str">
        <f t="shared" si="1"/>
        <v/>
      </c>
      <c r="L60" t="str">
        <f t="shared" si="12"/>
        <v/>
      </c>
      <c r="M60" t="str">
        <f>IF(V60="","",IFERROR(VLOOKUP(TRIM($V60),KEY!$B$2:$F$72,5,FALSE),""))</f>
        <v/>
      </c>
      <c r="N60" t="str">
        <f t="shared" si="2"/>
        <v/>
      </c>
      <c r="O60" t="str">
        <f t="shared" si="13"/>
        <v/>
      </c>
      <c r="P60" t="str">
        <f t="shared" si="14"/>
        <v/>
      </c>
      <c r="Q60" t="str">
        <f t="shared" si="15"/>
        <v/>
      </c>
      <c r="R60" t="str">
        <f t="shared" si="3"/>
        <v/>
      </c>
      <c r="S60" t="str">
        <f t="shared" si="4"/>
        <v/>
      </c>
      <c r="T60" t="str">
        <f>IF(V60="","",IFERROR(VLOOKUP(TRIM($V60),KEY!$B$2:$F$72,2,FALSE),""))</f>
        <v/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</row>
    <row r="61" spans="2:39" x14ac:dyDescent="0.35">
      <c r="B61" t="str">
        <f t="shared" si="5"/>
        <v/>
      </c>
      <c r="C61" t="str">
        <f t="shared" si="6"/>
        <v/>
      </c>
      <c r="D61" t="str">
        <f t="shared" si="0"/>
        <v/>
      </c>
      <c r="E61" t="str">
        <f t="shared" si="7"/>
        <v/>
      </c>
      <c r="F61" t="str">
        <f t="shared" si="8"/>
        <v/>
      </c>
      <c r="G61" t="str">
        <f t="shared" si="9"/>
        <v/>
      </c>
      <c r="H61" t="str">
        <f>IF(V61="","",IFERROR(VLOOKUP(TRIM($V61),KEY!$B$2:$F$72,3,FALSE),""))</f>
        <v/>
      </c>
      <c r="I61" t="str">
        <f t="shared" si="10"/>
        <v/>
      </c>
      <c r="J61" t="str">
        <f t="shared" si="11"/>
        <v/>
      </c>
      <c r="K61" t="str">
        <f t="shared" si="1"/>
        <v/>
      </c>
      <c r="L61" t="str">
        <f t="shared" si="12"/>
        <v/>
      </c>
      <c r="M61" t="str">
        <f>IF(V61="","",IFERROR(VLOOKUP(TRIM($V61),KEY!$B$2:$F$72,5,FALSE),""))</f>
        <v/>
      </c>
      <c r="N61" t="str">
        <f t="shared" si="2"/>
        <v/>
      </c>
      <c r="O61" t="str">
        <f t="shared" si="13"/>
        <v/>
      </c>
      <c r="P61" t="str">
        <f t="shared" si="14"/>
        <v/>
      </c>
      <c r="Q61" t="str">
        <f t="shared" si="15"/>
        <v/>
      </c>
      <c r="R61" t="str">
        <f t="shared" si="3"/>
        <v/>
      </c>
      <c r="S61" t="str">
        <f t="shared" si="4"/>
        <v/>
      </c>
      <c r="T61" t="str">
        <f>IF(V61="","",IFERROR(VLOOKUP(TRIM($V61),KEY!$B$2:$F$72,2,FALSE),""))</f>
        <v/>
      </c>
      <c r="V61" s="79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</row>
    <row r="62" spans="2:39" x14ac:dyDescent="0.35">
      <c r="B62" t="str">
        <f t="shared" si="5"/>
        <v/>
      </c>
      <c r="C62" t="str">
        <f t="shared" si="6"/>
        <v/>
      </c>
      <c r="D62" t="str">
        <f t="shared" si="0"/>
        <v/>
      </c>
      <c r="E62" t="str">
        <f t="shared" si="7"/>
        <v/>
      </c>
      <c r="F62" t="str">
        <f t="shared" si="8"/>
        <v/>
      </c>
      <c r="G62" t="str">
        <f t="shared" si="9"/>
        <v/>
      </c>
      <c r="H62" t="str">
        <f>IF(V62="","",IFERROR(VLOOKUP(TRIM($V62),KEY!$B$2:$F$72,3,FALSE),""))</f>
        <v/>
      </c>
      <c r="I62" t="str">
        <f t="shared" si="10"/>
        <v/>
      </c>
      <c r="J62" t="str">
        <f t="shared" si="11"/>
        <v/>
      </c>
      <c r="K62" t="str">
        <f t="shared" si="1"/>
        <v/>
      </c>
      <c r="L62" t="str">
        <f t="shared" si="12"/>
        <v/>
      </c>
      <c r="M62" t="str">
        <f>IF(V62="","",IFERROR(VLOOKUP(TRIM($V62),KEY!$B$2:$F$72,5,FALSE),""))</f>
        <v/>
      </c>
      <c r="N62" t="str">
        <f t="shared" si="2"/>
        <v/>
      </c>
      <c r="O62" t="str">
        <f t="shared" si="13"/>
        <v/>
      </c>
      <c r="P62" t="str">
        <f t="shared" si="14"/>
        <v/>
      </c>
      <c r="Q62" t="str">
        <f t="shared" si="15"/>
        <v/>
      </c>
      <c r="R62" t="str">
        <f t="shared" si="3"/>
        <v/>
      </c>
      <c r="S62" t="str">
        <f t="shared" si="4"/>
        <v/>
      </c>
      <c r="T62" t="str">
        <f>IF(V62="","",IFERROR(VLOOKUP(TRIM($V62),KEY!$B$2:$F$72,2,FALSE),""))</f>
        <v/>
      </c>
      <c r="V62" s="78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</row>
    <row r="63" spans="2:39" x14ac:dyDescent="0.35">
      <c r="B63" t="str">
        <f t="shared" si="5"/>
        <v/>
      </c>
      <c r="C63" t="str">
        <f t="shared" si="6"/>
        <v/>
      </c>
      <c r="D63" t="str">
        <f t="shared" si="0"/>
        <v/>
      </c>
      <c r="E63" t="str">
        <f t="shared" si="7"/>
        <v/>
      </c>
      <c r="F63" t="str">
        <f t="shared" si="8"/>
        <v/>
      </c>
      <c r="G63" t="str">
        <f t="shared" si="9"/>
        <v/>
      </c>
      <c r="H63" t="str">
        <f>IF(V63="","",IFERROR(VLOOKUP(TRIM($V63),KEY!$B$2:$F$72,3,FALSE),""))</f>
        <v/>
      </c>
      <c r="I63" t="str">
        <f t="shared" si="10"/>
        <v/>
      </c>
      <c r="J63" t="str">
        <f t="shared" si="11"/>
        <v/>
      </c>
      <c r="K63" t="str">
        <f t="shared" si="1"/>
        <v/>
      </c>
      <c r="L63" t="str">
        <f t="shared" si="12"/>
        <v/>
      </c>
      <c r="M63" t="str">
        <f>IF(V63="","",IFERROR(VLOOKUP(TRIM($V63),KEY!$B$2:$F$72,5,FALSE),""))</f>
        <v/>
      </c>
      <c r="N63" t="str">
        <f t="shared" si="2"/>
        <v/>
      </c>
      <c r="O63" t="str">
        <f t="shared" si="13"/>
        <v/>
      </c>
      <c r="P63" t="str">
        <f t="shared" si="14"/>
        <v/>
      </c>
      <c r="Q63" t="str">
        <f t="shared" si="15"/>
        <v/>
      </c>
      <c r="R63" t="str">
        <f t="shared" si="3"/>
        <v/>
      </c>
      <c r="S63" t="str">
        <f t="shared" si="4"/>
        <v/>
      </c>
      <c r="T63" t="str">
        <f>IF(V63="","",IFERROR(VLOOKUP(TRIM($V63),KEY!$B$2:$F$72,2,FALSE),""))</f>
        <v/>
      </c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</row>
    <row r="64" spans="2:39" x14ac:dyDescent="0.35">
      <c r="H64" t="str">
        <f>IF(V64="","",IFERROR(VLOOKUP(TRIM($V64),KEY!$B$2:$F$72,3,FALSE),""))</f>
        <v/>
      </c>
      <c r="M64" t="str">
        <f>IF(V64="","",IFERROR(VLOOKUP(TRIM($V64),KEY!$B$2:$F$72,5,FALSE),""))</f>
        <v/>
      </c>
      <c r="T64" t="str">
        <f>IF(V64="","",IFERROR(VLOOKUP(TRIM($V64),KEY!$B$2:$F$72,2,FALSE),""))</f>
        <v/>
      </c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</row>
    <row r="65" spans="2:39" x14ac:dyDescent="0.35">
      <c r="B65" t="str">
        <f t="shared" si="5"/>
        <v/>
      </c>
      <c r="C65" t="str">
        <f t="shared" si="6"/>
        <v/>
      </c>
      <c r="D65" t="str">
        <f t="shared" si="0"/>
        <v/>
      </c>
      <c r="E65" t="str">
        <f t="shared" si="7"/>
        <v/>
      </c>
      <c r="F65" t="str">
        <f t="shared" si="8"/>
        <v/>
      </c>
      <c r="G65" t="str">
        <f t="shared" si="9"/>
        <v/>
      </c>
      <c r="H65" t="str">
        <f>IF(V65="","",IFERROR(VLOOKUP(TRIM($V65),KEY!$B$2:$F$72,3,FALSE),""))</f>
        <v/>
      </c>
      <c r="I65" t="str">
        <f t="shared" si="10"/>
        <v/>
      </c>
      <c r="J65" t="str">
        <f t="shared" si="11"/>
        <v/>
      </c>
      <c r="K65" t="str">
        <f t="shared" si="1"/>
        <v/>
      </c>
      <c r="L65" t="str">
        <f t="shared" si="12"/>
        <v/>
      </c>
      <c r="M65" t="str">
        <f>IF(V65="","",IFERROR(VLOOKUP(TRIM($V65),KEY!$B$2:$F$72,5,FALSE),""))</f>
        <v/>
      </c>
      <c r="N65" t="str">
        <f t="shared" si="2"/>
        <v/>
      </c>
      <c r="O65" t="str">
        <f t="shared" si="13"/>
        <v/>
      </c>
      <c r="P65" t="str">
        <f t="shared" si="14"/>
        <v/>
      </c>
      <c r="Q65" t="str">
        <f t="shared" si="15"/>
        <v/>
      </c>
      <c r="R65" t="str">
        <f t="shared" si="3"/>
        <v/>
      </c>
      <c r="S65" t="str">
        <f t="shared" si="4"/>
        <v/>
      </c>
      <c r="T65" t="str">
        <f>IF(V65="","",IFERROR(VLOOKUP(TRIM($V65),KEY!$B$2:$F$72,2,FALSE),""))</f>
        <v/>
      </c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</row>
    <row r="66" spans="2:39" x14ac:dyDescent="0.35">
      <c r="B66" t="str">
        <f t="shared" si="5"/>
        <v/>
      </c>
      <c r="C66" t="str">
        <f t="shared" si="6"/>
        <v/>
      </c>
      <c r="D66" t="str">
        <f t="shared" si="0"/>
        <v/>
      </c>
      <c r="E66" t="str">
        <f t="shared" si="7"/>
        <v/>
      </c>
      <c r="F66" t="str">
        <f t="shared" si="8"/>
        <v/>
      </c>
      <c r="G66" t="str">
        <f t="shared" si="9"/>
        <v/>
      </c>
      <c r="H66" t="str">
        <f>IF(V66="","",IFERROR(VLOOKUP(TRIM($V66),KEY!$B$2:$F$72,3,FALSE),""))</f>
        <v/>
      </c>
      <c r="I66" t="str">
        <f t="shared" si="10"/>
        <v/>
      </c>
      <c r="J66" t="str">
        <f t="shared" si="11"/>
        <v/>
      </c>
      <c r="K66" t="str">
        <f t="shared" si="1"/>
        <v/>
      </c>
      <c r="L66" t="str">
        <f t="shared" si="12"/>
        <v/>
      </c>
      <c r="M66" t="str">
        <f>IF(V66="","",IFERROR(VLOOKUP(TRIM($V66),KEY!$B$2:$F$72,5,FALSE),""))</f>
        <v/>
      </c>
      <c r="N66" t="str">
        <f t="shared" si="2"/>
        <v/>
      </c>
      <c r="O66" t="str">
        <f t="shared" si="13"/>
        <v/>
      </c>
      <c r="P66" t="str">
        <f t="shared" si="14"/>
        <v/>
      </c>
      <c r="Q66" t="str">
        <f t="shared" si="15"/>
        <v/>
      </c>
      <c r="R66" t="str">
        <f t="shared" si="3"/>
        <v/>
      </c>
      <c r="S66" t="str">
        <f t="shared" si="4"/>
        <v/>
      </c>
      <c r="T66" t="str">
        <f>IF(V66="","",IFERROR(VLOOKUP(TRIM($V66),KEY!$B$2:$F$72,2,FALSE),""))</f>
        <v/>
      </c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</row>
    <row r="67" spans="2:39" x14ac:dyDescent="0.35">
      <c r="B67" t="str">
        <f t="shared" si="5"/>
        <v/>
      </c>
      <c r="C67" t="str">
        <f t="shared" si="6"/>
        <v/>
      </c>
      <c r="D67" t="str">
        <f t="shared" si="0"/>
        <v/>
      </c>
      <c r="E67" t="str">
        <f t="shared" si="7"/>
        <v/>
      </c>
      <c r="F67" t="str">
        <f t="shared" si="8"/>
        <v/>
      </c>
      <c r="G67" t="str">
        <f t="shared" si="9"/>
        <v/>
      </c>
      <c r="H67" t="str">
        <f>IF(V67="","",IFERROR(VLOOKUP(TRIM($V67),KEY!$B$2:$F$72,3,FALSE),""))</f>
        <v/>
      </c>
      <c r="I67" t="str">
        <f t="shared" si="10"/>
        <v/>
      </c>
      <c r="J67" t="str">
        <f t="shared" si="11"/>
        <v/>
      </c>
      <c r="K67" t="str">
        <f t="shared" si="1"/>
        <v/>
      </c>
      <c r="L67" t="str">
        <f t="shared" si="12"/>
        <v/>
      </c>
      <c r="M67" t="str">
        <f>IF(V67="","",IFERROR(VLOOKUP(TRIM($V67),KEY!$B$2:$F$72,5,FALSE),""))</f>
        <v/>
      </c>
      <c r="N67" t="str">
        <f t="shared" si="2"/>
        <v/>
      </c>
      <c r="O67" t="str">
        <f t="shared" si="13"/>
        <v/>
      </c>
      <c r="P67" t="str">
        <f t="shared" si="14"/>
        <v/>
      </c>
      <c r="Q67" t="str">
        <f t="shared" si="15"/>
        <v/>
      </c>
      <c r="R67" t="str">
        <f t="shared" si="3"/>
        <v/>
      </c>
      <c r="S67" t="str">
        <f t="shared" si="4"/>
        <v/>
      </c>
      <c r="T67" t="str">
        <f>IF(V67="","",IFERROR(VLOOKUP(TRIM($V67),KEY!$B$2:$F$72,2,FALSE),""))</f>
        <v/>
      </c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</row>
    <row r="68" spans="2:39" x14ac:dyDescent="0.35">
      <c r="B68" t="str">
        <f t="shared" si="5"/>
        <v/>
      </c>
      <c r="C68" t="str">
        <f t="shared" si="6"/>
        <v/>
      </c>
      <c r="D68" t="str">
        <f t="shared" ref="D68:D74" si="16">IF(V68="","",COUNTIFS($H$4:$H$74,H68,$E$4:$E$74,"&lt;"&amp;E68)+1)</f>
        <v/>
      </c>
      <c r="E68" t="str">
        <f t="shared" si="7"/>
        <v/>
      </c>
      <c r="F68" t="str">
        <f t="shared" si="8"/>
        <v/>
      </c>
      <c r="G68" t="str">
        <f t="shared" si="9"/>
        <v/>
      </c>
      <c r="H68" t="str">
        <f>IF(V68="","",IFERROR(VLOOKUP(TRIM($V68),KEY!$B$2:$F$72,3,FALSE),""))</f>
        <v/>
      </c>
      <c r="I68" t="str">
        <f t="shared" si="10"/>
        <v/>
      </c>
      <c r="J68" t="str">
        <f t="shared" si="11"/>
        <v/>
      </c>
      <c r="K68" t="str">
        <f t="shared" ref="K68:K74" si="17">IFERROR(IF(V68="","",RANK(L68,$L$4:$L$74,1)),"-")</f>
        <v/>
      </c>
      <c r="L68" t="str">
        <f t="shared" si="12"/>
        <v/>
      </c>
      <c r="M68" t="str">
        <f>IF(V68="","",IFERROR(VLOOKUP(TRIM($V68),KEY!$B$2:$F$72,5,FALSE),""))</f>
        <v/>
      </c>
      <c r="N68" t="str">
        <f t="shared" ref="N68:N74" si="18">IFERROR(IF(V68="","",RANK(Y68,$Y$4:$Y$74)),"-")</f>
        <v/>
      </c>
      <c r="O68" t="str">
        <f t="shared" si="13"/>
        <v/>
      </c>
      <c r="P68" t="str">
        <f t="shared" si="14"/>
        <v/>
      </c>
      <c r="Q68" t="str">
        <f t="shared" si="15"/>
        <v/>
      </c>
      <c r="R68" t="str">
        <f t="shared" ref="R68:R74" si="19">IF(V68="","",COUNTIFS($T$4:$T$74,T68,$V$4:$V$74,"&lt;"&amp;V68)+1)</f>
        <v/>
      </c>
      <c r="S68" t="str">
        <f t="shared" ref="S68:S74" si="20">IF(V68="","",COUNTIFS($T$4:$T$74,T68,$Y$4:$Y$74,"&gt;"&amp;Y68)+1)</f>
        <v/>
      </c>
      <c r="T68" t="str">
        <f>IF(V68="","",IFERROR(VLOOKUP(TRIM($V68),KEY!$B$2:$F$72,2,FALSE),""))</f>
        <v/>
      </c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</row>
    <row r="69" spans="2:39" x14ac:dyDescent="0.35">
      <c r="B69" t="str">
        <f t="shared" si="5"/>
        <v/>
      </c>
      <c r="C69" t="str">
        <f t="shared" si="6"/>
        <v/>
      </c>
      <c r="D69" t="str">
        <f t="shared" si="16"/>
        <v/>
      </c>
      <c r="E69" t="str">
        <f t="shared" si="7"/>
        <v/>
      </c>
      <c r="F69" t="str">
        <f t="shared" ref="F69:F74" si="21">IF(V69="","",COUNTIFS($H$4:$H$74,H69,$V$4:$V$74,"&lt;"&amp;V69)+1)</f>
        <v/>
      </c>
      <c r="G69" t="str">
        <f t="shared" ref="G69:G74" si="22">IF(V69="","",COUNTIFS($H$4:$H$74,H69,$Y$4:$Y$74,"&gt;"&amp;Y69)+1)</f>
        <v/>
      </c>
      <c r="H69" t="str">
        <f>IF(V69="","",IFERROR(VLOOKUP(TRIM($V69),KEY!$B$2:$F$72,3,FALSE),""))</f>
        <v/>
      </c>
      <c r="I69" t="str">
        <f t="shared" si="10"/>
        <v/>
      </c>
      <c r="J69" t="str">
        <f t="shared" si="11"/>
        <v/>
      </c>
      <c r="K69" t="str">
        <f t="shared" si="17"/>
        <v/>
      </c>
      <c r="L69" t="str">
        <f t="shared" si="12"/>
        <v/>
      </c>
      <c r="M69" t="str">
        <f>IF(V69="","",IFERROR(VLOOKUP(TRIM($V69),KEY!$B$2:$F$72,5,FALSE),""))</f>
        <v/>
      </c>
      <c r="N69" t="str">
        <f t="shared" si="18"/>
        <v/>
      </c>
      <c r="O69" t="str">
        <f t="shared" si="13"/>
        <v/>
      </c>
      <c r="P69" t="str">
        <f t="shared" ref="P69:P74" si="23">IF(OR(V69="",Q69=""),"",COUNTIFS($T$4:$T$74,T69,$Q$4:$Q$74,"&lt;"&amp;Q69)+1)</f>
        <v/>
      </c>
      <c r="Q69" t="str">
        <f t="shared" ref="Q69:Q74" si="24">IF(OR(V69="",W69=0),"",S69+(R69/100))</f>
        <v/>
      </c>
      <c r="R69" t="str">
        <f t="shared" si="19"/>
        <v/>
      </c>
      <c r="S69" t="str">
        <f t="shared" si="20"/>
        <v/>
      </c>
      <c r="T69" t="str">
        <f>IF(V69="","",IFERROR(VLOOKUP(TRIM($V69),KEY!$B$2:$F$72,2,FALSE),""))</f>
        <v/>
      </c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</row>
    <row r="70" spans="2:39" x14ac:dyDescent="0.35">
      <c r="B70" t="str">
        <f t="shared" si="5"/>
        <v/>
      </c>
      <c r="C70" t="str">
        <f t="shared" si="6"/>
        <v/>
      </c>
      <c r="D70" t="str">
        <f t="shared" si="16"/>
        <v/>
      </c>
      <c r="E70" t="str">
        <f t="shared" si="7"/>
        <v/>
      </c>
      <c r="F70" t="str">
        <f t="shared" si="21"/>
        <v/>
      </c>
      <c r="G70" t="str">
        <f t="shared" si="22"/>
        <v/>
      </c>
      <c r="H70" t="str">
        <f>IF(V70="","",IFERROR(VLOOKUP(TRIM($V70),KEY!$B$2:$F$72,3,FALSE),""))</f>
        <v/>
      </c>
      <c r="I70" t="str">
        <f t="shared" si="10"/>
        <v/>
      </c>
      <c r="J70" t="str">
        <f t="shared" si="11"/>
        <v/>
      </c>
      <c r="K70" t="str">
        <f t="shared" si="17"/>
        <v/>
      </c>
      <c r="L70" t="str">
        <f t="shared" si="12"/>
        <v/>
      </c>
      <c r="M70" t="str">
        <f>IF(V70="","",IFERROR(VLOOKUP(TRIM($V70),KEY!$B$2:$F$72,5,FALSE),""))</f>
        <v/>
      </c>
      <c r="N70" t="str">
        <f t="shared" si="18"/>
        <v/>
      </c>
      <c r="O70" t="str">
        <f t="shared" si="13"/>
        <v/>
      </c>
      <c r="P70" t="str">
        <f t="shared" si="23"/>
        <v/>
      </c>
      <c r="Q70" t="str">
        <f t="shared" si="24"/>
        <v/>
      </c>
      <c r="R70" t="str">
        <f t="shared" si="19"/>
        <v/>
      </c>
      <c r="S70" t="str">
        <f t="shared" si="20"/>
        <v/>
      </c>
      <c r="T70" t="str">
        <f>IF(V70="","",IFERROR(VLOOKUP(TRIM($V70),KEY!$B$2:$F$72,2,FALSE),""))</f>
        <v/>
      </c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</row>
    <row r="71" spans="2:39" x14ac:dyDescent="0.35">
      <c r="B71" t="str">
        <f t="shared" si="5"/>
        <v/>
      </c>
      <c r="C71" t="str">
        <f t="shared" si="6"/>
        <v/>
      </c>
      <c r="D71" t="str">
        <f t="shared" si="16"/>
        <v/>
      </c>
      <c r="E71" t="str">
        <f t="shared" si="7"/>
        <v/>
      </c>
      <c r="F71" t="str">
        <f t="shared" si="21"/>
        <v/>
      </c>
      <c r="G71" t="str">
        <f t="shared" si="22"/>
        <v/>
      </c>
      <c r="H71" t="str">
        <f>IF(V71="","",IFERROR(VLOOKUP(TRIM($V71),KEY!$B$2:$F$72,3,FALSE),""))</f>
        <v/>
      </c>
      <c r="I71" t="str">
        <f t="shared" si="10"/>
        <v/>
      </c>
      <c r="J71" t="str">
        <f t="shared" si="11"/>
        <v/>
      </c>
      <c r="K71" t="str">
        <f t="shared" si="17"/>
        <v/>
      </c>
      <c r="L71" t="str">
        <f t="shared" si="12"/>
        <v/>
      </c>
      <c r="M71" t="str">
        <f>IF(V71="","",IFERROR(VLOOKUP(TRIM($V71),KEY!$B$2:$F$72,5,FALSE),""))</f>
        <v/>
      </c>
      <c r="N71" t="str">
        <f t="shared" si="18"/>
        <v/>
      </c>
      <c r="O71" t="str">
        <f t="shared" si="13"/>
        <v/>
      </c>
      <c r="P71" t="str">
        <f t="shared" si="23"/>
        <v/>
      </c>
      <c r="Q71" t="str">
        <f t="shared" si="24"/>
        <v/>
      </c>
      <c r="R71" t="str">
        <f t="shared" si="19"/>
        <v/>
      </c>
      <c r="S71" t="str">
        <f t="shared" si="20"/>
        <v/>
      </c>
      <c r="T71" t="str">
        <f>IF(V71="","",IFERROR(VLOOKUP(TRIM($V71),KEY!$B$2:$F$72,2,FALSE),""))</f>
        <v/>
      </c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</row>
    <row r="72" spans="2:39" x14ac:dyDescent="0.35">
      <c r="B72" t="str">
        <f t="shared" si="5"/>
        <v/>
      </c>
      <c r="C72" t="str">
        <f t="shared" si="6"/>
        <v/>
      </c>
      <c r="D72" t="str">
        <f t="shared" si="16"/>
        <v/>
      </c>
      <c r="E72" t="str">
        <f t="shared" si="7"/>
        <v/>
      </c>
      <c r="F72" t="str">
        <f t="shared" si="21"/>
        <v/>
      </c>
      <c r="G72" t="str">
        <f t="shared" si="22"/>
        <v/>
      </c>
      <c r="H72" t="str">
        <f>IF(V72="","",IFERROR(VLOOKUP(TRIM($V72),KEY!$B$2:$F$72,3,FALSE),""))</f>
        <v/>
      </c>
      <c r="I72" t="str">
        <f t="shared" si="10"/>
        <v/>
      </c>
      <c r="J72" t="str">
        <f t="shared" si="11"/>
        <v/>
      </c>
      <c r="K72" t="str">
        <f t="shared" si="17"/>
        <v/>
      </c>
      <c r="L72" t="str">
        <f t="shared" si="12"/>
        <v/>
      </c>
      <c r="M72" t="str">
        <f>IF(V72="","",IFERROR(VLOOKUP(TRIM($V72),KEY!$B$2:$F$72,5,FALSE),""))</f>
        <v/>
      </c>
      <c r="N72" t="str">
        <f t="shared" si="18"/>
        <v/>
      </c>
      <c r="O72" t="str">
        <f t="shared" si="13"/>
        <v/>
      </c>
      <c r="P72" t="str">
        <f t="shared" si="23"/>
        <v/>
      </c>
      <c r="Q72" t="str">
        <f t="shared" si="24"/>
        <v/>
      </c>
      <c r="R72" t="str">
        <f t="shared" si="19"/>
        <v/>
      </c>
      <c r="S72" t="str">
        <f t="shared" si="20"/>
        <v/>
      </c>
      <c r="T72" t="str">
        <f>IF(V72="","",IFERROR(VLOOKUP(TRIM($V72),KEY!$B$2:$F$72,2,FALSE),""))</f>
        <v/>
      </c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</row>
    <row r="73" spans="2:39" x14ac:dyDescent="0.35">
      <c r="B73" t="str">
        <f t="shared" si="5"/>
        <v/>
      </c>
      <c r="C73" t="str">
        <f t="shared" si="6"/>
        <v/>
      </c>
      <c r="D73" t="str">
        <f t="shared" si="16"/>
        <v/>
      </c>
      <c r="E73" t="str">
        <f t="shared" si="7"/>
        <v/>
      </c>
      <c r="F73" t="str">
        <f t="shared" si="21"/>
        <v/>
      </c>
      <c r="G73" t="str">
        <f t="shared" si="22"/>
        <v/>
      </c>
      <c r="H73" t="str">
        <f>IF(V73="","",IFERROR(VLOOKUP(TRIM($V73),KEY!$B$2:$F$72,3,FALSE),""))</f>
        <v/>
      </c>
      <c r="I73" t="str">
        <f t="shared" si="10"/>
        <v/>
      </c>
      <c r="J73" t="str">
        <f t="shared" si="11"/>
        <v/>
      </c>
      <c r="K73" t="str">
        <f t="shared" si="17"/>
        <v/>
      </c>
      <c r="L73" t="str">
        <f t="shared" si="12"/>
        <v/>
      </c>
      <c r="M73" t="str">
        <f>IF(V73="","",IFERROR(VLOOKUP(TRIM($V73),KEY!$B$2:$F$72,5,FALSE),""))</f>
        <v/>
      </c>
      <c r="N73" t="str">
        <f t="shared" si="18"/>
        <v/>
      </c>
      <c r="O73" t="str">
        <f t="shared" si="13"/>
        <v/>
      </c>
      <c r="P73" t="str">
        <f t="shared" si="23"/>
        <v/>
      </c>
      <c r="Q73" t="str">
        <f t="shared" si="24"/>
        <v/>
      </c>
      <c r="R73" t="str">
        <f t="shared" si="19"/>
        <v/>
      </c>
      <c r="S73" t="str">
        <f t="shared" si="20"/>
        <v/>
      </c>
      <c r="T73" t="str">
        <f>IF(V73="","",IFERROR(VLOOKUP(TRIM($V73),KEY!$B$2:$F$72,2,FALSE),""))</f>
        <v/>
      </c>
      <c r="V73" s="79"/>
      <c r="W73" s="79" t="s">
        <v>202</v>
      </c>
      <c r="X73" s="79" t="s">
        <v>202</v>
      </c>
      <c r="Y73" s="79" t="s">
        <v>202</v>
      </c>
      <c r="Z73" s="79" t="s">
        <v>202</v>
      </c>
      <c r="AA73" s="79" t="s">
        <v>202</v>
      </c>
      <c r="AB73" s="79" t="s">
        <v>202</v>
      </c>
      <c r="AC73" s="79" t="s">
        <v>202</v>
      </c>
      <c r="AD73" s="79" t="s">
        <v>202</v>
      </c>
      <c r="AE73" s="79" t="s">
        <v>202</v>
      </c>
      <c r="AF73" s="79" t="s">
        <v>202</v>
      </c>
      <c r="AG73" s="79" t="s">
        <v>202</v>
      </c>
      <c r="AH73" s="79" t="s">
        <v>202</v>
      </c>
      <c r="AI73" s="79" t="s">
        <v>202</v>
      </c>
      <c r="AJ73" s="79" t="s">
        <v>202</v>
      </c>
      <c r="AK73" s="79" t="s">
        <v>202</v>
      </c>
      <c r="AL73" s="79" t="s">
        <v>202</v>
      </c>
      <c r="AM73" s="79" t="s">
        <v>202</v>
      </c>
    </row>
    <row r="74" spans="2:39" x14ac:dyDescent="0.35">
      <c r="B74" t="str">
        <f t="shared" si="5"/>
        <v/>
      </c>
      <c r="C74" t="str">
        <f t="shared" si="6"/>
        <v/>
      </c>
      <c r="D74" t="str">
        <f t="shared" si="16"/>
        <v/>
      </c>
      <c r="E74" t="str">
        <f t="shared" si="7"/>
        <v/>
      </c>
      <c r="F74" t="str">
        <f t="shared" si="21"/>
        <v/>
      </c>
      <c r="G74" t="str">
        <f t="shared" si="22"/>
        <v/>
      </c>
      <c r="H74" t="str">
        <f>IF(V74="","",IFERROR(VLOOKUP(TRIM($V74),KEY!$B$2:$F$72,3,FALSE),""))</f>
        <v/>
      </c>
      <c r="I74" t="str">
        <f t="shared" si="10"/>
        <v/>
      </c>
      <c r="J74" t="str">
        <f t="shared" si="11"/>
        <v/>
      </c>
      <c r="K74" t="str">
        <f t="shared" si="17"/>
        <v/>
      </c>
      <c r="L74" t="str">
        <f t="shared" si="12"/>
        <v/>
      </c>
      <c r="M74" t="str">
        <f>IF(V74="","",IFERROR(VLOOKUP(TRIM($V74),KEY!$B$2:$F$72,5,FALSE),""))</f>
        <v/>
      </c>
      <c r="N74" t="str">
        <f t="shared" si="18"/>
        <v/>
      </c>
      <c r="O74" t="str">
        <f t="shared" si="13"/>
        <v/>
      </c>
      <c r="P74" t="str">
        <f t="shared" si="23"/>
        <v/>
      </c>
      <c r="Q74" t="str">
        <f t="shared" si="24"/>
        <v/>
      </c>
      <c r="R74" t="str">
        <f t="shared" si="19"/>
        <v/>
      </c>
      <c r="S74" t="str">
        <f t="shared" si="20"/>
        <v/>
      </c>
      <c r="T74" t="str">
        <f>IF(V74="","",IFERROR(VLOOKUP(TRIM($V74),KEY!$B$2:$F$72,2,FALSE),""))</f>
        <v/>
      </c>
      <c r="V74" s="79"/>
      <c r="W74" s="79" t="s">
        <v>202</v>
      </c>
      <c r="X74" s="79" t="s">
        <v>202</v>
      </c>
      <c r="Y74" s="79" t="s">
        <v>202</v>
      </c>
      <c r="Z74" s="79" t="s">
        <v>202</v>
      </c>
      <c r="AA74" s="79" t="s">
        <v>202</v>
      </c>
      <c r="AB74" s="79" t="s">
        <v>202</v>
      </c>
      <c r="AC74" s="79" t="s">
        <v>202</v>
      </c>
      <c r="AD74" s="79" t="s">
        <v>202</v>
      </c>
      <c r="AE74" s="79" t="s">
        <v>202</v>
      </c>
      <c r="AF74" s="79" t="s">
        <v>202</v>
      </c>
      <c r="AG74" s="79" t="s">
        <v>202</v>
      </c>
      <c r="AH74" s="79" t="s">
        <v>202</v>
      </c>
      <c r="AI74" s="79" t="s">
        <v>202</v>
      </c>
      <c r="AJ74" s="79" t="s">
        <v>202</v>
      </c>
      <c r="AK74" s="79" t="s">
        <v>202</v>
      </c>
      <c r="AL74" s="79" t="s">
        <v>202</v>
      </c>
      <c r="AM74" s="79" t="s">
        <v>202</v>
      </c>
    </row>
    <row r="75" spans="2:39" ht="15.5" x14ac:dyDescent="0.35">
      <c r="H75" t="str">
        <f>IF(V75="","",IFERROR(VLOOKUP(TRIM($V75),KEY!$B$2:$F$72,3,FALSE),""))</f>
        <v/>
      </c>
      <c r="M75" t="str">
        <f>IF(V75="","",IFERROR(VLOOKUP(TRIM($V75),KEY!$B$2:$F$72,5,FALSE),""))</f>
        <v/>
      </c>
      <c r="V75" s="1" t="s">
        <v>203</v>
      </c>
      <c r="W75" s="57">
        <f t="shared" ref="W75:X75" si="25">SUM(W4:W74)</f>
        <v>1109</v>
      </c>
      <c r="X75" s="57">
        <f t="shared" si="25"/>
        <v>393</v>
      </c>
      <c r="Y75" s="58">
        <f>X75/W75</f>
        <v>0.35437330928764654</v>
      </c>
      <c r="Z75" s="57">
        <f>SUM(Z4:Z74)</f>
        <v>32</v>
      </c>
      <c r="AA75" s="57">
        <f t="shared" ref="AA75:AD75" si="26">SUM(AA4:AA74)</f>
        <v>393</v>
      </c>
      <c r="AB75" s="57">
        <f t="shared" si="26"/>
        <v>118</v>
      </c>
      <c r="AC75" s="57">
        <f t="shared" si="26"/>
        <v>175</v>
      </c>
      <c r="AD75" s="57">
        <f t="shared" si="26"/>
        <v>718</v>
      </c>
      <c r="AE75" s="58">
        <f>AD75/W75</f>
        <v>0.64743011722272314</v>
      </c>
      <c r="AF75" s="57">
        <f>SUM(AF4:AF74)</f>
        <v>41</v>
      </c>
      <c r="AG75" s="57">
        <f>SUM(AG4:AG74)</f>
        <v>19</v>
      </c>
      <c r="AH75" s="57">
        <f>SUM(AH4:AH74)</f>
        <v>29</v>
      </c>
      <c r="AI75" s="58">
        <f>(AF75+AG75+AH75)/W75</f>
        <v>8.025247971145176E-2</v>
      </c>
      <c r="AJ75" s="57">
        <f>SUM(AJ4:AJ74)</f>
        <v>159</v>
      </c>
      <c r="AK75" s="57">
        <f>SUM(AK4:AK74)</f>
        <v>143</v>
      </c>
      <c r="AL75" s="57">
        <f>SUM(AL4:AL74)</f>
        <v>0</v>
      </c>
      <c r="AM75" s="58">
        <f>(AJ75+AK75+AL75)/W75</f>
        <v>0.27231740306582508</v>
      </c>
    </row>
    <row r="76" spans="2:39" x14ac:dyDescent="0.35">
      <c r="J76" t="str">
        <f t="shared" ref="J76:J78" ca="1" si="27">$W$1&amp;"-"&amp;O76</f>
        <v>Dec 2025-RGN-5</v>
      </c>
      <c r="N76" t="s">
        <v>204</v>
      </c>
      <c r="O76" t="str">
        <f ca="1">T76&amp;"-"&amp;P76</f>
        <v>RGN-5</v>
      </c>
      <c r="P76">
        <f ca="1">COUNTIFS(T76:T84,T76,Q76:Q84,"&lt;"&amp;Q76)+1</f>
        <v>5</v>
      </c>
      <c r="Q76">
        <f ca="1">S76+(R76/100)</f>
        <v>5.01</v>
      </c>
      <c r="R76">
        <f>COUNTIFS(T76:T84,T76,V76:V84,"&lt;"&amp;V76)+1</f>
        <v>1</v>
      </c>
      <c r="S76">
        <f ca="1">COUNTIFS(T76:T84,T76,Y76:Y84,"&gt;"&amp;Y76)+1</f>
        <v>5</v>
      </c>
      <c r="T76" t="s">
        <v>205</v>
      </c>
      <c r="V76" t="s">
        <v>204</v>
      </c>
      <c r="W76" s="1">
        <f ca="1">SUMIF(H4:W74,N76,W4:W74)</f>
        <v>151</v>
      </c>
      <c r="X76" s="1">
        <f ca="1">SUMIF(H4:X74,N76,X4:X74)</f>
        <v>52</v>
      </c>
      <c r="Y76" s="3">
        <f ca="1">X76/W76</f>
        <v>0.3443708609271523</v>
      </c>
      <c r="Z76" s="1">
        <f ca="1">SUMIF(H4:Z74,N76,Z4:Z74)</f>
        <v>8</v>
      </c>
      <c r="AA76" s="1">
        <f ca="1">SUMIF(H4:AA74,N76,AA4:AA74)</f>
        <v>52</v>
      </c>
      <c r="AB76" s="1">
        <f ca="1">SUMIF(H4:AB74,N76,AB4:AB74)</f>
        <v>13</v>
      </c>
      <c r="AC76" s="1">
        <f ca="1">SUMIF(H4:AC74,N76,AC4:AC74)</f>
        <v>26</v>
      </c>
      <c r="AD76" s="1">
        <f ca="1">SUMIF(H4:AD74,N76,AD4:AD74)</f>
        <v>99</v>
      </c>
      <c r="AE76" s="3">
        <f t="shared" ref="AE76" ca="1" si="28">AD76/W76</f>
        <v>0.6556291390728477</v>
      </c>
      <c r="AF76" s="1">
        <f ca="1">SUMIF(H4:AF74,N76,AF4:AF74)</f>
        <v>9</v>
      </c>
      <c r="AG76" s="1">
        <f ca="1">SUMIF(H4:AG74,N76,AG4:AG74)</f>
        <v>2</v>
      </c>
      <c r="AH76" s="1">
        <f ca="1">SUMIF(H4:AH74,N76,AH4:AH74)</f>
        <v>4</v>
      </c>
      <c r="AI76" s="3">
        <f t="shared" ref="AI76" ca="1" si="29">(AF76+AG76+AH76)/W76</f>
        <v>9.9337748344370855E-2</v>
      </c>
      <c r="AJ76" s="1">
        <f ca="1">SUMIF(H4:AJ74,N76,AJ4:AJ74)</f>
        <v>10</v>
      </c>
      <c r="AK76" s="1">
        <f ca="1">SUMIF(H4:AK74,N76,AK4:AK74)</f>
        <v>27</v>
      </c>
      <c r="AL76" s="1">
        <f ca="1">SUMIF(H4:AL74,N76,AL4:AL74)</f>
        <v>0</v>
      </c>
      <c r="AM76" s="3">
        <f t="shared" ref="AM76" ca="1" si="30">(AJ76+AK76+AL76)/W76</f>
        <v>0.24503311258278146</v>
      </c>
    </row>
    <row r="77" spans="2:39" x14ac:dyDescent="0.35">
      <c r="J77" t="str">
        <f t="shared" ca="1" si="27"/>
        <v>Dec 2025-RGN-2</v>
      </c>
      <c r="N77" t="s">
        <v>206</v>
      </c>
      <c r="O77" t="str">
        <f t="shared" ref="O77:O78" ca="1" si="31">T77&amp;"-"&amp;P77</f>
        <v>RGN-2</v>
      </c>
      <c r="P77">
        <f ca="1">COUNTIFS(T76:T84,T77,Q76:Q84,"&lt;"&amp;Q77)+1</f>
        <v>2</v>
      </c>
      <c r="Q77">
        <f t="shared" ref="Q77:Q78" ca="1" si="32">S77+(R77/100)</f>
        <v>2.02</v>
      </c>
      <c r="R77">
        <f>COUNTIFS(T76:T84,T77,V76:V84,"&lt;"&amp;V77)+1</f>
        <v>2</v>
      </c>
      <c r="S77">
        <f ca="1">COUNTIFS(T76:T84,T77,Y76:Y84,"&gt;"&amp;Y77)+1</f>
        <v>2</v>
      </c>
      <c r="T77" t="s">
        <v>205</v>
      </c>
      <c r="V77" t="s">
        <v>206</v>
      </c>
      <c r="W77" s="1">
        <f ca="1">SUMIF(H4:W74,N77,W4:W74)</f>
        <v>81</v>
      </c>
      <c r="X77" s="1">
        <f ca="1">SUMIF(H4:X74,N77,X4:X74)</f>
        <v>34</v>
      </c>
      <c r="Y77" s="3">
        <f ca="1">X77/W77</f>
        <v>0.41975308641975306</v>
      </c>
      <c r="Z77" s="1">
        <f ca="1">SUMIF(H4:Z74,N77,Z4:Z74)</f>
        <v>1</v>
      </c>
      <c r="AA77" s="1">
        <f ca="1">SUMIF(H4:AA74,N77,AA4:AA74)</f>
        <v>34</v>
      </c>
      <c r="AB77" s="1">
        <f ca="1">SUMIF(H4:AB74,N77,AB4:AB74)</f>
        <v>8</v>
      </c>
      <c r="AC77" s="1">
        <f ca="1">SUMIF(H4:AC74,N77,AC4:AC74)</f>
        <v>7</v>
      </c>
      <c r="AD77" s="1">
        <f ca="1">SUMIF(H4:AD74,N77,AD4:AD74)</f>
        <v>50</v>
      </c>
      <c r="AE77" s="3">
        <f t="shared" ref="AE77:AE78" ca="1" si="33">AD77/W77</f>
        <v>0.61728395061728392</v>
      </c>
      <c r="AF77" s="1">
        <f ca="1">SUMIF(H4:AF74,N77,AF4:AF74)</f>
        <v>3</v>
      </c>
      <c r="AG77" s="1">
        <f ca="1">SUMIF(H4:AG74,N77,AG4:AG74)</f>
        <v>2</v>
      </c>
      <c r="AH77" s="1">
        <f ca="1">SUMIF(H4:AH74,N77,AH4:AH74)</f>
        <v>0</v>
      </c>
      <c r="AI77" s="3">
        <f t="shared" ref="AI77:AI78" ca="1" si="34">(AF77+AG77+AH77)/W77</f>
        <v>6.1728395061728392E-2</v>
      </c>
      <c r="AJ77" s="1">
        <f ca="1">SUMIF(H4:AJ74,N77,AJ4:AJ74)</f>
        <v>0</v>
      </c>
      <c r="AK77" s="1">
        <f ca="1">SUMIF(H4:AK74,N77,AK4:AK74)</f>
        <v>26</v>
      </c>
      <c r="AL77" s="1">
        <f ca="1">SUMIF(H4:AL74,N77,AL4:AL74)</f>
        <v>0</v>
      </c>
      <c r="AM77" s="3">
        <f t="shared" ref="AM77:AM78" ca="1" si="35">(AJ77+AK77+AL77)/W77</f>
        <v>0.32098765432098764</v>
      </c>
    </row>
    <row r="78" spans="2:39" x14ac:dyDescent="0.35">
      <c r="J78" t="str">
        <f t="shared" ca="1" si="27"/>
        <v>Dec 2025-RGN-6</v>
      </c>
      <c r="N78" t="s">
        <v>207</v>
      </c>
      <c r="O78" t="str">
        <f t="shared" ca="1" si="31"/>
        <v>RGN-6</v>
      </c>
      <c r="P78">
        <f ca="1">COUNTIFS(T76:T84,T78,Q76:Q84,"&lt;"&amp;Q78)+1</f>
        <v>6</v>
      </c>
      <c r="Q78">
        <f t="shared" ca="1" si="32"/>
        <v>6.03</v>
      </c>
      <c r="R78">
        <f>COUNTIFS(T76:T84,T78,V76:V84,"&lt;"&amp;V78)+1</f>
        <v>3</v>
      </c>
      <c r="S78">
        <f ca="1">COUNTIFS(T76:T84,T78,Y76:Y84,"&gt;"&amp;Y78)+1</f>
        <v>6</v>
      </c>
      <c r="T78" t="s">
        <v>205</v>
      </c>
      <c r="V78" t="s">
        <v>207</v>
      </c>
      <c r="W78" s="1">
        <f ca="1">SUMIF(H4:W74,N78,W4:W74)</f>
        <v>50</v>
      </c>
      <c r="X78" s="1">
        <f ca="1">SUMIF(H4:X74,N78,X4:X74)</f>
        <v>16</v>
      </c>
      <c r="Y78" s="3">
        <f t="shared" ref="Y78" ca="1" si="36">X78/W78</f>
        <v>0.32</v>
      </c>
      <c r="Z78" s="1">
        <f ca="1">SUMIF(H4:Z74,N78,Z4:Z74)</f>
        <v>0</v>
      </c>
      <c r="AA78" s="1">
        <f ca="1">SUMIF(H4:AA74,N78,AA4:AA74)</f>
        <v>16</v>
      </c>
      <c r="AB78" s="1">
        <f ca="1">SUMIF(H4:AB74,N78,AB4:AB74)</f>
        <v>0</v>
      </c>
      <c r="AC78" s="1">
        <f ca="1">SUMIF(H4:AC74,N78,AC4:AC74)</f>
        <v>5</v>
      </c>
      <c r="AD78" s="1">
        <f ca="1">SUMIF(H4:AD74,N78,AD4:AD74)</f>
        <v>21</v>
      </c>
      <c r="AE78" s="3">
        <f t="shared" ca="1" si="33"/>
        <v>0.42</v>
      </c>
      <c r="AF78" s="1">
        <f ca="1">SUMIF(H4:AF74,N78,AF4:AF74)</f>
        <v>9</v>
      </c>
      <c r="AG78" s="1">
        <f ca="1">SUMIF(H4:AG74,N78,AG4:AG74)</f>
        <v>0</v>
      </c>
      <c r="AH78" s="1">
        <f ca="1">SUMIF(H4:AH74,N78,AH4:AH74)</f>
        <v>17</v>
      </c>
      <c r="AI78" s="3">
        <f t="shared" ca="1" si="34"/>
        <v>0.52</v>
      </c>
      <c r="AJ78" s="1">
        <f ca="1">SUMIF(H4:AJ74,N78,AJ4:AJ74)</f>
        <v>3</v>
      </c>
      <c r="AK78" s="1">
        <f ca="1">SUMIF(H4:AK74,N78,AK4:AK74)</f>
        <v>0</v>
      </c>
      <c r="AL78" s="1">
        <f ca="1">SUMIF(H4:AL74,N78,AL4:AL74)</f>
        <v>0</v>
      </c>
      <c r="AM78" s="3">
        <f t="shared" ca="1" si="35"/>
        <v>0.06</v>
      </c>
    </row>
    <row r="79" spans="2:39" x14ac:dyDescent="0.35">
      <c r="J79" t="str">
        <f t="shared" ref="J79:J83" ca="1" si="37">$W$1&amp;"-"&amp;O79</f>
        <v>Dec 2025-RGN-7</v>
      </c>
      <c r="N79" t="s">
        <v>208</v>
      </c>
      <c r="O79" t="str">
        <f t="shared" ref="O79:O83" ca="1" si="38">T79&amp;"-"&amp;P79</f>
        <v>RGN-7</v>
      </c>
      <c r="P79">
        <f ca="1">COUNTIFS(T75:T83,T79,Q75:Q83,"&lt;"&amp;Q79)+1</f>
        <v>7</v>
      </c>
      <c r="Q79">
        <f t="shared" ref="Q79:Q83" ca="1" si="39">S79+(R79/100)</f>
        <v>7.04</v>
      </c>
      <c r="R79">
        <f>COUNTIFS(T75:T83,T79,V75:V83,"&lt;"&amp;V79)+1</f>
        <v>4</v>
      </c>
      <c r="S79">
        <f ca="1">COUNTIFS(T75:T83,T79,Y75:Y83,"&gt;"&amp;Y79)+1</f>
        <v>7</v>
      </c>
      <c r="T79" t="s">
        <v>205</v>
      </c>
      <c r="V79" t="s">
        <v>208</v>
      </c>
      <c r="W79" s="1">
        <f ca="1">SUMIF(H3:W73,N79,W3:W73)</f>
        <v>207</v>
      </c>
      <c r="X79" s="1">
        <f ca="1">SUMIF(H3:X73,N79,X3:X73)</f>
        <v>63</v>
      </c>
      <c r="Y79" s="3">
        <f t="shared" ref="Y79:Y83" ca="1" si="40">X79/W79</f>
        <v>0.30434782608695654</v>
      </c>
      <c r="Z79" s="1">
        <f ca="1">SUMIF(H3:Z73,N79,Z3:Z73)</f>
        <v>1</v>
      </c>
      <c r="AA79" s="1">
        <f ca="1">SUMIF(H3:AA73,N79,AA3:AA73)</f>
        <v>63</v>
      </c>
      <c r="AB79" s="1">
        <f ca="1">SUMIF(H3:AB73,N79,AB3:AB73)</f>
        <v>33</v>
      </c>
      <c r="AC79" s="1">
        <f ca="1">SUMIF(H3:AC73,N79,AC3:AC73)</f>
        <v>42</v>
      </c>
      <c r="AD79" s="1">
        <f ca="1">SUMIF(H3:AD73,N79,AD3:AD73)</f>
        <v>139</v>
      </c>
      <c r="AE79" s="3">
        <f t="shared" ref="AE79:AE83" ca="1" si="41">AD79/W79</f>
        <v>0.67149758454106279</v>
      </c>
      <c r="AF79" s="1">
        <f ca="1">SUMIF(H3:AF73,N79,AF3:AF73)</f>
        <v>5</v>
      </c>
      <c r="AG79" s="1">
        <f ca="1">SUMIF(H3:AG73,N79,AG3:AG73)</f>
        <v>0</v>
      </c>
      <c r="AH79" s="1">
        <f ca="1">SUMIF(H3:AH73,N79,AH3:AH73)</f>
        <v>0</v>
      </c>
      <c r="AI79" s="3">
        <f t="shared" ref="AI79:AI83" ca="1" si="42">(AF79+AG79+AH79)/W79</f>
        <v>2.4154589371980676E-2</v>
      </c>
      <c r="AJ79" s="1">
        <f ca="1">SUMIF(H3:AJ73,N79,AJ3:AJ73)</f>
        <v>56</v>
      </c>
      <c r="AK79" s="1">
        <f ca="1">SUMIF(H3:AK73,N79,AK3:AK73)</f>
        <v>7</v>
      </c>
      <c r="AL79" s="1">
        <f ca="1">SUMIF(H3:AL73,N79,AL3:AL73)</f>
        <v>0</v>
      </c>
      <c r="AM79" s="3">
        <f t="shared" ref="AM79:AM83" ca="1" si="43">(AJ79+AK79+AL79)/W79</f>
        <v>0.30434782608695654</v>
      </c>
    </row>
    <row r="80" spans="2:39" x14ac:dyDescent="0.35">
      <c r="J80" t="str">
        <f t="shared" ca="1" si="37"/>
        <v>Dec 2025-RGN-3</v>
      </c>
      <c r="N80" t="s">
        <v>209</v>
      </c>
      <c r="O80" t="str">
        <f t="shared" ca="1" si="38"/>
        <v>RGN-3</v>
      </c>
      <c r="P80">
        <f ca="1">COUNTIFS(T75:T83,T80,Q75:Q83,"&lt;"&amp;Q80)+1</f>
        <v>3</v>
      </c>
      <c r="Q80">
        <f t="shared" ca="1" si="39"/>
        <v>3.05</v>
      </c>
      <c r="R80">
        <f>COUNTIFS(T75:T83,T80,V75:V83,"&lt;"&amp;V80)+1</f>
        <v>5</v>
      </c>
      <c r="S80">
        <f ca="1">COUNTIFS(T75:T83,T80,Y75:Y83,"&gt;"&amp;Y80)+1</f>
        <v>3</v>
      </c>
      <c r="T80" t="s">
        <v>205</v>
      </c>
      <c r="V80" t="s">
        <v>209</v>
      </c>
      <c r="W80" s="1">
        <f ca="1">SUMIF(H3:W73,N80,W3:W73)</f>
        <v>332</v>
      </c>
      <c r="X80" s="1">
        <f ca="1">SUMIF(H3:X73,N80,X3:X73)</f>
        <v>118</v>
      </c>
      <c r="Y80" s="3">
        <f t="shared" ca="1" si="40"/>
        <v>0.35542168674698793</v>
      </c>
      <c r="Z80" s="1">
        <f ca="1">SUMIF(H3:Z73,N80,Z3:Z73)</f>
        <v>3</v>
      </c>
      <c r="AA80" s="1">
        <f ca="1">SUMIF(H3:AA73,N80,AA3:AA73)</f>
        <v>118</v>
      </c>
      <c r="AB80" s="1">
        <f ca="1">SUMIF(H3:AB73,N80,AB3:AB73)</f>
        <v>45</v>
      </c>
      <c r="AC80" s="1">
        <f ca="1">SUMIF(H3:AC73,N80,AC3:AC73)</f>
        <v>38</v>
      </c>
      <c r="AD80" s="1">
        <f ca="1">SUMIF(H3:AD73,N80,AD3:AD73)</f>
        <v>204</v>
      </c>
      <c r="AE80" s="3">
        <f t="shared" ca="1" si="41"/>
        <v>0.61445783132530118</v>
      </c>
      <c r="AF80" s="1">
        <f ca="1">SUMIF(H3:AF73,N80,AF3:AF73)</f>
        <v>0</v>
      </c>
      <c r="AG80" s="1">
        <f ca="1">SUMIF(H3:AG73,N80,AG3:AG73)</f>
        <v>10</v>
      </c>
      <c r="AH80" s="1">
        <f ca="1">SUMIF(H3:AH73,N80,AH3:AH73)</f>
        <v>7</v>
      </c>
      <c r="AI80" s="3">
        <f t="shared" ca="1" si="42"/>
        <v>5.1204819277108432E-2</v>
      </c>
      <c r="AJ80" s="1">
        <f ca="1">SUMIF(H3:AJ73,N80,AJ3:AJ73)</f>
        <v>69</v>
      </c>
      <c r="AK80" s="1">
        <f ca="1">SUMIF(H3:AK73,N80,AK3:AK73)</f>
        <v>42</v>
      </c>
      <c r="AL80" s="1">
        <f ca="1">SUMIF(H3:AL73,N80,AL3:AL73)</f>
        <v>0</v>
      </c>
      <c r="AM80" s="3">
        <f t="shared" ca="1" si="43"/>
        <v>0.33433734939759036</v>
      </c>
    </row>
    <row r="81" spans="1:39" x14ac:dyDescent="0.35">
      <c r="J81" t="str">
        <f t="shared" ca="1" si="37"/>
        <v>Dec 2025-RGN-4</v>
      </c>
      <c r="N81" t="s">
        <v>210</v>
      </c>
      <c r="O81" t="str">
        <f t="shared" ca="1" si="38"/>
        <v>RGN-4</v>
      </c>
      <c r="P81">
        <f ca="1">COUNTIFS(T75:T83,T81,Q75:Q83,"&lt;"&amp;Q81)+1</f>
        <v>4</v>
      </c>
      <c r="Q81">
        <f t="shared" ca="1" si="39"/>
        <v>4.0599999999999996</v>
      </c>
      <c r="R81">
        <f>COUNTIFS(T75:T83,T81,V75:V83,"&lt;"&amp;V81)+1</f>
        <v>6</v>
      </c>
      <c r="S81">
        <f ca="1">COUNTIFS(T75:T83,T81,Y75:Y83,"&gt;"&amp;Y81)+1</f>
        <v>4</v>
      </c>
      <c r="T81" t="s">
        <v>205</v>
      </c>
      <c r="V81" t="s">
        <v>210</v>
      </c>
      <c r="W81" s="1">
        <f ca="1">SUMIF(H3:W73,N81,W3:W73)</f>
        <v>167</v>
      </c>
      <c r="X81" s="1">
        <f ca="1">SUMIF(H3:X73,N81,X3:X73)</f>
        <v>58</v>
      </c>
      <c r="Y81" s="3">
        <f t="shared" ca="1" si="40"/>
        <v>0.3473053892215569</v>
      </c>
      <c r="Z81" s="1">
        <f ca="1">SUMIF(H3:Z73,N81,Z3:Z73)</f>
        <v>12</v>
      </c>
      <c r="AA81" s="1">
        <f ca="1">SUMIF(H3:AA73,N81,AA3:AA73)</f>
        <v>58</v>
      </c>
      <c r="AB81" s="1">
        <f ca="1">SUMIF(H3:AB73,N81,AB3:AB73)</f>
        <v>15</v>
      </c>
      <c r="AC81" s="1">
        <f ca="1">SUMIF(H3:AC73,N81,AC3:AC73)</f>
        <v>31</v>
      </c>
      <c r="AD81" s="1">
        <f ca="1">SUMIF(H3:AD73,N81,AD3:AD73)</f>
        <v>116</v>
      </c>
      <c r="AE81" s="3">
        <f t="shared" ca="1" si="41"/>
        <v>0.69461077844311381</v>
      </c>
      <c r="AF81" s="1">
        <f ca="1">SUMIF(H3:AF73,N81,AF3:AF73)</f>
        <v>13</v>
      </c>
      <c r="AG81" s="1">
        <f ca="1">SUMIF(H3:AG73,N81,AG3:AG73)</f>
        <v>3</v>
      </c>
      <c r="AH81" s="1">
        <f ca="1">SUMIF(H3:AH73,N81,AH3:AH73)</f>
        <v>1</v>
      </c>
      <c r="AI81" s="3">
        <f t="shared" ca="1" si="42"/>
        <v>0.10179640718562874</v>
      </c>
      <c r="AJ81" s="1">
        <f ca="1">SUMIF(H3:AJ73,N81,AJ3:AJ73)</f>
        <v>16</v>
      </c>
      <c r="AK81" s="1">
        <f ca="1">SUMIF(H3:AK73,N81,AK3:AK73)</f>
        <v>18</v>
      </c>
      <c r="AL81" s="1">
        <f ca="1">SUMIF(H3:AL73,N81,AL3:AL73)</f>
        <v>0</v>
      </c>
      <c r="AM81" s="3">
        <f t="shared" ca="1" si="43"/>
        <v>0.20359281437125748</v>
      </c>
    </row>
    <row r="82" spans="1:39" x14ac:dyDescent="0.35">
      <c r="J82" t="str">
        <f t="shared" ca="1" si="37"/>
        <v>Dec 2025-RGN-1</v>
      </c>
      <c r="N82" t="s">
        <v>211</v>
      </c>
      <c r="O82" t="str">
        <f t="shared" ca="1" si="38"/>
        <v>RGN-1</v>
      </c>
      <c r="P82">
        <f ca="1">COUNTIFS(T75:T83,T82,Q75:Q83,"&lt;"&amp;Q82)+1</f>
        <v>1</v>
      </c>
      <c r="Q82">
        <f t="shared" ca="1" si="39"/>
        <v>1.07</v>
      </c>
      <c r="R82">
        <f>COUNTIFS(T75:T83,T82,V75:V83,"&lt;"&amp;V82)+1</f>
        <v>7</v>
      </c>
      <c r="S82">
        <f ca="1">COUNTIFS(T75:T83,T82,Y75:Y83,"&gt;"&amp;Y82)+1</f>
        <v>1</v>
      </c>
      <c r="T82" t="s">
        <v>205</v>
      </c>
      <c r="V82" t="s">
        <v>211</v>
      </c>
      <c r="W82" s="1">
        <f ca="1">SUMIF(H3:W73,N82,W3:W73)</f>
        <v>114</v>
      </c>
      <c r="X82" s="1">
        <f ca="1">SUMIF(H3:X73,N82,X3:X73)</f>
        <v>51</v>
      </c>
      <c r="Y82" s="3">
        <f t="shared" ca="1" si="40"/>
        <v>0.44736842105263158</v>
      </c>
      <c r="Z82" s="1">
        <f ca="1">SUMIF(H3:Z73,N82,Z3:Z73)</f>
        <v>7</v>
      </c>
      <c r="AA82" s="1">
        <f ca="1">SUMIF(H3:AA73,N82,AA3:AA73)</f>
        <v>51</v>
      </c>
      <c r="AB82" s="1">
        <f ca="1">SUMIF(H3:AB73,N82,AB3:AB73)</f>
        <v>4</v>
      </c>
      <c r="AC82" s="1">
        <f ca="1">SUMIF(H3:AC73,N82,AC3:AC73)</f>
        <v>25</v>
      </c>
      <c r="AD82" s="1">
        <f ca="1">SUMIF(H3:AD73,N82,AD3:AD73)</f>
        <v>87</v>
      </c>
      <c r="AE82" s="3">
        <f t="shared" ca="1" si="41"/>
        <v>0.76315789473684215</v>
      </c>
      <c r="AF82" s="1">
        <f ca="1">SUMIF(H3:AF73,N82,AF3:AF73)</f>
        <v>0</v>
      </c>
      <c r="AG82" s="1">
        <f ca="1">SUMIF(H3:AG73,N82,AG3:AG73)</f>
        <v>2</v>
      </c>
      <c r="AH82" s="1">
        <f ca="1">SUMIF(H3:AH73,N82,AH3:AH73)</f>
        <v>0</v>
      </c>
      <c r="AI82" s="3">
        <f t="shared" ca="1" si="42"/>
        <v>1.7543859649122806E-2</v>
      </c>
      <c r="AJ82" s="1">
        <f ca="1">SUMIF(H3:AJ73,N82,AJ3:AJ73)</f>
        <v>5</v>
      </c>
      <c r="AK82" s="1">
        <f ca="1">SUMIF(H3:AK73,N82,AK3:AK73)</f>
        <v>20</v>
      </c>
      <c r="AL82" s="1">
        <f ca="1">SUMIF(H3:AL73,N82,AL3:AL73)</f>
        <v>0</v>
      </c>
      <c r="AM82" s="3">
        <f t="shared" ca="1" si="43"/>
        <v>0.21929824561403508</v>
      </c>
    </row>
    <row r="83" spans="1:39" x14ac:dyDescent="0.35">
      <c r="J83" t="str">
        <f t="shared" ca="1" si="37"/>
        <v>Dec 2025-RGN-8</v>
      </c>
      <c r="N83" t="s">
        <v>212</v>
      </c>
      <c r="O83" t="str">
        <f t="shared" ca="1" si="38"/>
        <v>RGN-8</v>
      </c>
      <c r="P83">
        <f ca="1">COUNTIFS(T75:T83,T83,Q75:Q83,"&lt;"&amp;Q83)+1</f>
        <v>8</v>
      </c>
      <c r="Q83">
        <f t="shared" ca="1" si="39"/>
        <v>8.08</v>
      </c>
      <c r="R83">
        <f>COUNTIFS(T75:T83,T83,V75:V83,"&lt;"&amp;V83)+1</f>
        <v>8</v>
      </c>
      <c r="S83">
        <f ca="1">COUNTIFS(T75:T83,T83,Y75:Y83,"&gt;"&amp;Y83)+1</f>
        <v>8</v>
      </c>
      <c r="T83" t="s">
        <v>205</v>
      </c>
      <c r="V83" t="s">
        <v>212</v>
      </c>
      <c r="W83" s="1">
        <f ca="1">SUMIF(H3:W73,N83,W3:W73)</f>
        <v>7</v>
      </c>
      <c r="X83" s="1">
        <f ca="1">SUMIF(H3:X73,N83,X3:X73)</f>
        <v>1</v>
      </c>
      <c r="Y83" s="3">
        <f t="shared" ca="1" si="40"/>
        <v>0.14285714285714285</v>
      </c>
      <c r="Z83" s="1">
        <f ca="1">SUMIF(H3:Z73,N83,Z3:Z73)</f>
        <v>0</v>
      </c>
      <c r="AA83" s="1">
        <f ca="1">SUMIF(H3:AA73,N83,AA3:AA73)</f>
        <v>1</v>
      </c>
      <c r="AB83" s="1">
        <f ca="1">SUMIF(H3:AB73,N83,AB3:AB73)</f>
        <v>0</v>
      </c>
      <c r="AC83" s="1">
        <f ca="1">SUMIF(H3:AC73,N83,AC3:AC73)</f>
        <v>1</v>
      </c>
      <c r="AD83" s="1">
        <f ca="1">SUMIF(H3:AD73,N83,AD3:AD73)</f>
        <v>2</v>
      </c>
      <c r="AE83" s="3">
        <f t="shared" ca="1" si="41"/>
        <v>0.2857142857142857</v>
      </c>
      <c r="AF83" s="1">
        <f ca="1">SUMIF(H3:AF73,N83,AF3:AF73)</f>
        <v>2</v>
      </c>
      <c r="AG83" s="1">
        <f ca="1">SUMIF(H3:AG73,N83,AG3:AG73)</f>
        <v>0</v>
      </c>
      <c r="AH83" s="1">
        <f ca="1">SUMIF(H3:AH73,N83,AH3:AH73)</f>
        <v>0</v>
      </c>
      <c r="AI83" s="3">
        <f t="shared" ca="1" si="42"/>
        <v>0.2857142857142857</v>
      </c>
      <c r="AJ83" s="1">
        <f ca="1">SUMIF(H3:AJ73,N83,AJ3:AJ73)</f>
        <v>0</v>
      </c>
      <c r="AK83" s="1">
        <f ca="1">SUMIF(H3:AK73,N83,AK3:AK73)</f>
        <v>3</v>
      </c>
      <c r="AL83" s="1">
        <f ca="1">SUMIF(H3:AL73,N83,AL3:AL73)</f>
        <v>0</v>
      </c>
      <c r="AM83" s="3">
        <f t="shared" ca="1" si="43"/>
        <v>0.42857142857142855</v>
      </c>
    </row>
    <row r="86" spans="1:39" ht="16" customHeight="1" x14ac:dyDescent="0.35">
      <c r="A86" s="2"/>
      <c r="B86" s="2"/>
      <c r="C86" s="107" t="str">
        <f>X1</f>
        <v>Jan 2026</v>
      </c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</row>
    <row r="87" spans="1:39" x14ac:dyDescent="0.35">
      <c r="A87" s="2"/>
      <c r="B87" s="2" t="s">
        <v>128</v>
      </c>
      <c r="C87" s="2"/>
      <c r="D87" s="2"/>
      <c r="E87" s="2"/>
      <c r="F87" s="2"/>
      <c r="G87" s="2"/>
      <c r="H87" s="2"/>
      <c r="I87" s="2" t="s">
        <v>129</v>
      </c>
      <c r="J87" s="2"/>
      <c r="K87" s="2"/>
      <c r="L87" s="2"/>
      <c r="M87" s="2"/>
      <c r="N87" s="2"/>
      <c r="O87" s="2" t="s">
        <v>130</v>
      </c>
      <c r="P87" s="2"/>
      <c r="Q87" s="2"/>
      <c r="R87" s="2"/>
      <c r="S87" s="2"/>
      <c r="T87" s="2"/>
      <c r="U87" s="2"/>
      <c r="V87" s="2" t="s">
        <v>100</v>
      </c>
      <c r="W87" s="2" t="s">
        <v>131</v>
      </c>
      <c r="X87" s="2" t="s">
        <v>132</v>
      </c>
      <c r="Y87" s="2" t="s">
        <v>133</v>
      </c>
      <c r="Z87" s="2" t="s">
        <v>134</v>
      </c>
      <c r="AA87" s="2" t="s">
        <v>132</v>
      </c>
      <c r="AB87" s="2" t="s">
        <v>135</v>
      </c>
      <c r="AC87" s="2" t="s">
        <v>136</v>
      </c>
      <c r="AD87" s="2" t="s">
        <v>137</v>
      </c>
      <c r="AE87" s="2" t="s">
        <v>138</v>
      </c>
      <c r="AF87" s="2" t="s">
        <v>139</v>
      </c>
      <c r="AG87" s="2" t="s">
        <v>140</v>
      </c>
      <c r="AH87" s="2" t="s">
        <v>15</v>
      </c>
      <c r="AI87" s="2" t="s">
        <v>141</v>
      </c>
      <c r="AJ87" s="2" t="s">
        <v>142</v>
      </c>
      <c r="AK87" s="2" t="s">
        <v>143</v>
      </c>
      <c r="AL87" s="2" t="s">
        <v>144</v>
      </c>
      <c r="AM87" s="2" t="s">
        <v>145</v>
      </c>
    </row>
    <row r="88" spans="1:39" x14ac:dyDescent="0.35">
      <c r="B88" t="str">
        <f>IF(V88="","",H88&amp;"-"&amp;D88)</f>
        <v>Arizona-5</v>
      </c>
      <c r="C88" t="str">
        <f>IF(V88="","",$W$1&amp;"-"&amp;B88)</f>
        <v>Dec 2025-Arizona-5</v>
      </c>
      <c r="D88">
        <f t="shared" ref="D88:D106" si="44">IF(V88="","",COUNTIFS($H$88:$H$158,H88,$E$88:$E$158,"&lt;"&amp;E88)+1)</f>
        <v>5</v>
      </c>
      <c r="E88">
        <f>IF(V88="","",G88+(F88/100))</f>
        <v>5.01</v>
      </c>
      <c r="F88">
        <f t="shared" ref="F88:F106" si="45">IF(V88="","",COUNTIFS($H$88:$H$158,H88,$V$88:$V$158,"&lt;"&amp;V88)+1)</f>
        <v>1</v>
      </c>
      <c r="G88">
        <f t="shared" ref="G88:G106" si="46">IF(V88="","",COUNTIFS($H$88:$H$158,H88,$Y$88:$Y$158,"&gt;"&amp;Y88)+1)</f>
        <v>5</v>
      </c>
      <c r="H88" t="str">
        <f>IF(V88="","",IFERROR(VLOOKUP(TRIM($V88),KEY!$B$2:$F$72,3,FALSE),""))</f>
        <v>Arizona</v>
      </c>
      <c r="I88" t="str">
        <f>IF(V88="","","WEST-"&amp;K88)</f>
        <v>WEST-17</v>
      </c>
      <c r="J88" t="str">
        <f t="shared" ref="J88:J106" si="47">IF(V88="","",$X$1&amp;"-"&amp;I88)</f>
        <v>Jan 2026-WEST-17</v>
      </c>
      <c r="K88">
        <f t="shared" ref="K88:K106" si="48">IFERROR(IF(V88="","",RANK(L88,$L$88:$L$158,1)),"-")</f>
        <v>17</v>
      </c>
      <c r="L88">
        <f>IFERROR(IF(V88="","",N88+(M88/100)),"-")</f>
        <v>17.010000000000002</v>
      </c>
      <c r="M88">
        <f>IF(V88="","",IFERROR(VLOOKUP(TRIM($V88),KEY!$B$2:$F$72,5,FALSE),""))</f>
        <v>1</v>
      </c>
      <c r="N88">
        <f t="shared" ref="N88:N106" si="49">IFERROR(IF(V88="","",RANK(Y88,$Y$88:$Y$158)),"-")</f>
        <v>17</v>
      </c>
      <c r="O88" t="str">
        <f>IF(V88="","",T88&amp;"-"&amp;P88)</f>
        <v>Acura-1</v>
      </c>
      <c r="P88">
        <f>IF(OR(V88="",Q88=""),"",COUNTIFS($T$4:$T$74,T88,$Q$4:$Q$74,"&lt;"&amp;Q88)+1)</f>
        <v>1</v>
      </c>
      <c r="Q88">
        <f>IF(OR(V88="",W88=0),"",S88+(R88/100))</f>
        <v>1.01</v>
      </c>
      <c r="R88">
        <f t="shared" ref="R88:R106" si="50">IF(V88="","",COUNTIFS($T$88:$T$158,T88,$V$88:$V$158,"&lt;"&amp;V88)+1)</f>
        <v>1</v>
      </c>
      <c r="S88">
        <f t="shared" ref="S88:S106" si="51">IF(V88="","",COUNTIFS($T$88:$T$158,T88,$Y$88:$Y$158,"&gt;"&amp;Y88)+1)</f>
        <v>1</v>
      </c>
      <c r="T88" t="str">
        <f>IF(V88="","",IFERROR(VLOOKUP(TRIM($V88),KEY!$B$2:$F$72,2,FALSE),""))</f>
        <v>Acura</v>
      </c>
      <c r="V88" s="78" t="s">
        <v>146</v>
      </c>
      <c r="W88" s="78">
        <v>8</v>
      </c>
      <c r="X88" s="78">
        <v>2</v>
      </c>
      <c r="Y88" s="78">
        <v>25</v>
      </c>
      <c r="Z88" s="78">
        <v>0</v>
      </c>
      <c r="AA88" s="78">
        <v>2</v>
      </c>
      <c r="AB88" s="78">
        <v>0</v>
      </c>
      <c r="AC88" s="78">
        <v>2</v>
      </c>
      <c r="AD88" s="78">
        <v>4</v>
      </c>
      <c r="AE88" s="78">
        <v>50</v>
      </c>
      <c r="AF88" s="78">
        <v>1</v>
      </c>
      <c r="AG88" s="78">
        <v>0</v>
      </c>
      <c r="AH88" s="78">
        <v>0</v>
      </c>
      <c r="AI88" s="78">
        <v>13</v>
      </c>
      <c r="AJ88" s="78">
        <v>0</v>
      </c>
      <c r="AK88" s="78">
        <v>3</v>
      </c>
      <c r="AL88" s="78">
        <v>0</v>
      </c>
      <c r="AM88" s="78">
        <v>38</v>
      </c>
    </row>
    <row r="89" spans="1:39" x14ac:dyDescent="0.35">
      <c r="B89" t="str">
        <f t="shared" ref="B89:B106" si="52">IF(V89="","",H89&amp;"-"&amp;D89)</f>
        <v>Arizona-13</v>
      </c>
      <c r="C89" t="str">
        <f t="shared" ref="C89:C106" si="53">IF(V89="","",$W$1&amp;"-"&amp;B89)</f>
        <v>Dec 2025-Arizona-13</v>
      </c>
      <c r="D89">
        <f t="shared" si="44"/>
        <v>13</v>
      </c>
      <c r="E89">
        <f t="shared" ref="E89:E106" si="54">IF(V89="","",G89+(F89/100))</f>
        <v>8.1300000000000008</v>
      </c>
      <c r="F89">
        <f t="shared" si="45"/>
        <v>13</v>
      </c>
      <c r="G89">
        <f t="shared" si="46"/>
        <v>8</v>
      </c>
      <c r="H89" t="str">
        <f>IF(V89="","",IFERROR(VLOOKUP(TRIM($V89),KEY!$B$2:$F$72,3,FALSE),""))</f>
        <v>Arizona</v>
      </c>
      <c r="I89" t="str">
        <f t="shared" ref="I89:I106" si="55">IF(V89="","","WEST-"&amp;K89)</f>
        <v>WEST-52</v>
      </c>
      <c r="J89" t="str">
        <f t="shared" si="47"/>
        <v>Jan 2026-WEST-52</v>
      </c>
      <c r="K89">
        <f t="shared" si="48"/>
        <v>52</v>
      </c>
      <c r="L89">
        <f t="shared" ref="L89:L106" si="56">IFERROR(IF(V89="","",N89+(M89/100)),"-")</f>
        <v>38.57</v>
      </c>
      <c r="M89">
        <f>IF(V89="","",IFERROR(VLOOKUP(TRIM($V89),KEY!$B$2:$F$72,5,FALSE),""))</f>
        <v>57</v>
      </c>
      <c r="N89">
        <f t="shared" si="49"/>
        <v>38</v>
      </c>
      <c r="O89" t="str">
        <f t="shared" ref="O89:O106" si="57">IF(V89="","",T89&amp;"-"&amp;P89)</f>
        <v>Honda-7</v>
      </c>
      <c r="P89">
        <f t="shared" ref="P89:P106" si="58">IF(OR(V89="",Q89=""),"",COUNTIFS($T$4:$T$74,T89,$Q$4:$Q$74,"&lt;"&amp;Q89)+1)</f>
        <v>7</v>
      </c>
      <c r="Q89">
        <f t="shared" ref="Q89:Q106" si="59">IF(OR(V89="",W89=0),"",S89+(R89/100))</f>
        <v>6.07</v>
      </c>
      <c r="R89">
        <f t="shared" si="50"/>
        <v>7</v>
      </c>
      <c r="S89">
        <f t="shared" si="51"/>
        <v>6</v>
      </c>
      <c r="T89" t="str">
        <f>IF(V89="","",IFERROR(VLOOKUP(TRIM($V89),KEY!$B$2:$F$72,2,FALSE),""))</f>
        <v>Honda</v>
      </c>
      <c r="V89" s="78" t="s">
        <v>147</v>
      </c>
      <c r="W89" s="78">
        <v>27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27</v>
      </c>
      <c r="AI89" s="78">
        <v>100</v>
      </c>
      <c r="AJ89" s="78">
        <v>0</v>
      </c>
      <c r="AK89" s="78">
        <v>0</v>
      </c>
      <c r="AL89" s="78">
        <v>0</v>
      </c>
      <c r="AM89" s="78">
        <v>0</v>
      </c>
    </row>
    <row r="90" spans="1:39" x14ac:dyDescent="0.35">
      <c r="B90" t="str">
        <f t="shared" si="52"/>
        <v>Arizona-15</v>
      </c>
      <c r="C90" t="str">
        <f t="shared" si="53"/>
        <v>Dec 2025-Arizona-15</v>
      </c>
      <c r="D90">
        <f t="shared" si="44"/>
        <v>15</v>
      </c>
      <c r="E90">
        <f t="shared" si="54"/>
        <v>8.15</v>
      </c>
      <c r="F90">
        <f t="shared" si="45"/>
        <v>15</v>
      </c>
      <c r="G90">
        <f t="shared" si="46"/>
        <v>8</v>
      </c>
      <c r="H90" t="str">
        <f>IF(V90="","",IFERROR(VLOOKUP(TRIM($V90),KEY!$B$2:$F$72,3,FALSE),""))</f>
        <v>Arizona</v>
      </c>
      <c r="I90" t="str">
        <f t="shared" si="55"/>
        <v>WEST-55</v>
      </c>
      <c r="J90" t="str">
        <f t="shared" si="47"/>
        <v>Jan 2026-WEST-55</v>
      </c>
      <c r="K90">
        <f t="shared" si="48"/>
        <v>55</v>
      </c>
      <c r="L90">
        <f t="shared" si="56"/>
        <v>38.61</v>
      </c>
      <c r="M90">
        <f>IF(V90="","",IFERROR(VLOOKUP(TRIM($V90),KEY!$B$2:$F$72,5,FALSE),""))</f>
        <v>61</v>
      </c>
      <c r="N90">
        <f t="shared" si="49"/>
        <v>38</v>
      </c>
      <c r="O90" t="str">
        <f t="shared" si="57"/>
        <v>Volkswagen-2</v>
      </c>
      <c r="P90">
        <f t="shared" si="58"/>
        <v>2</v>
      </c>
      <c r="Q90">
        <f>IF(OR(V90="",W90=0),"",S90+(R90/100))</f>
        <v>2.0099999999999998</v>
      </c>
      <c r="R90">
        <f>IF(V90="","",COUNTIFS($T$88:$T$158,T90,$V$88:$V$158,"&lt;"&amp;V90)+1)</f>
        <v>1</v>
      </c>
      <c r="S90">
        <f t="shared" si="51"/>
        <v>2</v>
      </c>
      <c r="T90" t="str">
        <f>IF(V90="","",IFERROR(VLOOKUP(TRIM($V90),KEY!$B$2:$F$72,2,FALSE),""))</f>
        <v>Volkswagen</v>
      </c>
      <c r="V90" s="78" t="s">
        <v>151</v>
      </c>
      <c r="W90" s="78">
        <v>8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8</v>
      </c>
      <c r="AI90" s="78">
        <v>100</v>
      </c>
      <c r="AJ90" s="78">
        <v>0</v>
      </c>
      <c r="AK90" s="78">
        <v>0</v>
      </c>
      <c r="AL90" s="78">
        <v>0</v>
      </c>
      <c r="AM90" s="78">
        <v>0</v>
      </c>
    </row>
    <row r="91" spans="1:39" x14ac:dyDescent="0.35">
      <c r="B91" t="str">
        <f t="shared" si="52"/>
        <v>Arizona-7</v>
      </c>
      <c r="C91" t="str">
        <f t="shared" si="53"/>
        <v>Dec 2025-Arizona-7</v>
      </c>
      <c r="D91">
        <f t="shared" si="44"/>
        <v>7</v>
      </c>
      <c r="E91">
        <f t="shared" si="54"/>
        <v>7.05</v>
      </c>
      <c r="F91">
        <f t="shared" si="45"/>
        <v>5</v>
      </c>
      <c r="G91">
        <f t="shared" si="46"/>
        <v>7</v>
      </c>
      <c r="H91" t="str">
        <f>IF(V91="","",IFERROR(VLOOKUP(TRIM($V91),KEY!$B$2:$F$72,3,FALSE),""))</f>
        <v>Arizona</v>
      </c>
      <c r="I91" t="str">
        <f t="shared" si="55"/>
        <v>WEST-37</v>
      </c>
      <c r="J91" t="str">
        <f t="shared" si="47"/>
        <v>Jan 2026-WEST-37</v>
      </c>
      <c r="K91">
        <f t="shared" si="48"/>
        <v>37</v>
      </c>
      <c r="L91">
        <f t="shared" si="56"/>
        <v>37.11</v>
      </c>
      <c r="M91">
        <f>IF(V91="","",IFERROR(VLOOKUP(TRIM($V91),KEY!$B$2:$F$72,5,FALSE),""))</f>
        <v>11</v>
      </c>
      <c r="N91">
        <f t="shared" si="49"/>
        <v>37</v>
      </c>
      <c r="O91" t="str">
        <f t="shared" si="57"/>
        <v>BMW-8</v>
      </c>
      <c r="P91">
        <f t="shared" si="58"/>
        <v>8</v>
      </c>
      <c r="Q91">
        <f t="shared" si="59"/>
        <v>8.01</v>
      </c>
      <c r="R91">
        <f t="shared" si="50"/>
        <v>1</v>
      </c>
      <c r="S91">
        <f t="shared" si="51"/>
        <v>8</v>
      </c>
      <c r="T91" t="str">
        <f>IF(V91="","",IFERROR(VLOOKUP(TRIM($V91),KEY!$B$2:$F$72,2,FALSE),""))</f>
        <v>BMW</v>
      </c>
      <c r="V91" s="78" t="s">
        <v>150</v>
      </c>
      <c r="W91" s="78">
        <v>48</v>
      </c>
      <c r="X91" s="78">
        <v>2</v>
      </c>
      <c r="Y91" s="78">
        <v>4</v>
      </c>
      <c r="Z91" s="78">
        <v>0</v>
      </c>
      <c r="AA91" s="78">
        <v>2</v>
      </c>
      <c r="AB91" s="78">
        <v>0</v>
      </c>
      <c r="AC91" s="78">
        <v>0</v>
      </c>
      <c r="AD91" s="78">
        <v>2</v>
      </c>
      <c r="AE91" s="78">
        <v>4</v>
      </c>
      <c r="AF91" s="78">
        <v>2</v>
      </c>
      <c r="AG91" s="78">
        <v>0</v>
      </c>
      <c r="AH91" s="78">
        <v>43</v>
      </c>
      <c r="AI91" s="78">
        <v>94</v>
      </c>
      <c r="AJ91" s="78">
        <v>1</v>
      </c>
      <c r="AK91" s="78">
        <v>0</v>
      </c>
      <c r="AL91" s="78">
        <v>0</v>
      </c>
      <c r="AM91" s="78">
        <v>2</v>
      </c>
    </row>
    <row r="92" spans="1:39" x14ac:dyDescent="0.35">
      <c r="B92" t="str">
        <f t="shared" si="52"/>
        <v>Arizona-14</v>
      </c>
      <c r="C92" t="str">
        <f t="shared" si="53"/>
        <v>Dec 2025-Arizona-14</v>
      </c>
      <c r="D92">
        <f t="shared" si="44"/>
        <v>14</v>
      </c>
      <c r="E92">
        <f t="shared" si="54"/>
        <v>8.14</v>
      </c>
      <c r="F92">
        <f t="shared" si="45"/>
        <v>14</v>
      </c>
      <c r="G92">
        <f t="shared" si="46"/>
        <v>8</v>
      </c>
      <c r="H92" t="str">
        <f>IF(V92="","",IFERROR(VLOOKUP(TRIM($V92),KEY!$B$2:$F$72,3,FALSE),""))</f>
        <v>Arizona</v>
      </c>
      <c r="I92" t="str">
        <f t="shared" si="55"/>
        <v>WEST-54</v>
      </c>
      <c r="J92" t="str">
        <f t="shared" si="47"/>
        <v>Jan 2026-WEST-54</v>
      </c>
      <c r="K92">
        <f t="shared" si="48"/>
        <v>54</v>
      </c>
      <c r="L92">
        <f t="shared" si="56"/>
        <v>38.6</v>
      </c>
      <c r="M92">
        <f>IF(V92="","",IFERROR(VLOOKUP(TRIM($V92),KEY!$B$2:$F$72,5,FALSE),""))</f>
        <v>60</v>
      </c>
      <c r="N92">
        <f t="shared" si="49"/>
        <v>38</v>
      </c>
      <c r="O92" t="str">
        <f t="shared" si="57"/>
        <v>Toyota-4</v>
      </c>
      <c r="P92">
        <f t="shared" si="58"/>
        <v>4</v>
      </c>
      <c r="Q92">
        <f t="shared" si="59"/>
        <v>3.04</v>
      </c>
      <c r="R92">
        <f t="shared" si="50"/>
        <v>4</v>
      </c>
      <c r="S92">
        <f t="shared" si="51"/>
        <v>3</v>
      </c>
      <c r="T92" t="str">
        <f>IF(V92="","",IFERROR(VLOOKUP(TRIM($V92),KEY!$B$2:$F$72,2,FALSE),""))</f>
        <v>Toyota</v>
      </c>
      <c r="V92" s="78" t="s">
        <v>149</v>
      </c>
      <c r="W92" s="78">
        <v>4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0</v>
      </c>
      <c r="AH92" s="78">
        <v>4</v>
      </c>
      <c r="AI92" s="78">
        <v>100</v>
      </c>
      <c r="AJ92" s="78">
        <v>0</v>
      </c>
      <c r="AK92" s="78">
        <v>0</v>
      </c>
      <c r="AL92" s="78">
        <v>0</v>
      </c>
      <c r="AM92" s="78">
        <v>0</v>
      </c>
    </row>
    <row r="93" spans="1:39" x14ac:dyDescent="0.35">
      <c r="B93" t="str">
        <f t="shared" si="52"/>
        <v>Arizona-6</v>
      </c>
      <c r="C93" t="str">
        <f t="shared" si="53"/>
        <v>Dec 2025-Arizona-6</v>
      </c>
      <c r="D93">
        <f t="shared" si="44"/>
        <v>6</v>
      </c>
      <c r="E93">
        <f t="shared" si="54"/>
        <v>5.09</v>
      </c>
      <c r="F93">
        <f t="shared" si="45"/>
        <v>9</v>
      </c>
      <c r="G93">
        <f t="shared" si="46"/>
        <v>5</v>
      </c>
      <c r="H93" t="str">
        <f>IF(V93="","",IFERROR(VLOOKUP(TRIM($V93),KEY!$B$2:$F$72,3,FALSE),""))</f>
        <v>Arizona</v>
      </c>
      <c r="I93" t="str">
        <f t="shared" si="55"/>
        <v>WEST-18</v>
      </c>
      <c r="J93" t="str">
        <f t="shared" si="47"/>
        <v>Jan 2026-WEST-18</v>
      </c>
      <c r="K93">
        <f t="shared" si="48"/>
        <v>18</v>
      </c>
      <c r="L93">
        <f t="shared" si="56"/>
        <v>17.37</v>
      </c>
      <c r="M93">
        <f>IF(V93="","",IFERROR(VLOOKUP(TRIM($V93),KEY!$B$2:$F$72,5,FALSE),""))</f>
        <v>37</v>
      </c>
      <c r="N93">
        <f t="shared" si="49"/>
        <v>17</v>
      </c>
      <c r="O93" t="str">
        <f t="shared" si="57"/>
        <v>Mercedes-Benz-2</v>
      </c>
      <c r="P93">
        <f t="shared" si="58"/>
        <v>2</v>
      </c>
      <c r="Q93">
        <f t="shared" si="59"/>
        <v>2.02</v>
      </c>
      <c r="R93">
        <f t="shared" si="50"/>
        <v>2</v>
      </c>
      <c r="S93">
        <f t="shared" si="51"/>
        <v>2</v>
      </c>
      <c r="T93" t="str">
        <f>IF(V93="","",IFERROR(VLOOKUP(TRIM($V93),KEY!$B$2:$F$72,2,FALSE),""))</f>
        <v>Mercedes-Benz</v>
      </c>
      <c r="V93" s="78" t="s">
        <v>153</v>
      </c>
      <c r="W93" s="78">
        <v>16</v>
      </c>
      <c r="X93" s="78">
        <v>4</v>
      </c>
      <c r="Y93" s="78">
        <v>25</v>
      </c>
      <c r="Z93" s="78">
        <v>1</v>
      </c>
      <c r="AA93" s="78">
        <v>4</v>
      </c>
      <c r="AB93" s="78">
        <v>0</v>
      </c>
      <c r="AC93" s="78">
        <v>1</v>
      </c>
      <c r="AD93" s="78">
        <v>6</v>
      </c>
      <c r="AE93" s="78">
        <v>38</v>
      </c>
      <c r="AF93" s="78">
        <v>2</v>
      </c>
      <c r="AG93" s="78">
        <v>0</v>
      </c>
      <c r="AH93" s="78">
        <v>2</v>
      </c>
      <c r="AI93" s="78">
        <v>25</v>
      </c>
      <c r="AJ93" s="78">
        <v>0</v>
      </c>
      <c r="AK93" s="78">
        <v>6</v>
      </c>
      <c r="AL93" s="78">
        <v>0</v>
      </c>
      <c r="AM93" s="78">
        <v>38</v>
      </c>
    </row>
    <row r="94" spans="1:39" x14ac:dyDescent="0.35">
      <c r="B94" t="str">
        <f t="shared" si="52"/>
        <v>Arizona-10</v>
      </c>
      <c r="C94" t="str">
        <f t="shared" si="53"/>
        <v>Dec 2025-Arizona-10</v>
      </c>
      <c r="D94">
        <f t="shared" si="44"/>
        <v>10</v>
      </c>
      <c r="E94">
        <f t="shared" si="54"/>
        <v>8.07</v>
      </c>
      <c r="F94">
        <f t="shared" si="45"/>
        <v>7</v>
      </c>
      <c r="G94">
        <f t="shared" si="46"/>
        <v>8</v>
      </c>
      <c r="H94" t="str">
        <f>IF(V94="","",IFERROR(VLOOKUP(TRIM($V94),KEY!$B$2:$F$72,3,FALSE),""))</f>
        <v>Arizona</v>
      </c>
      <c r="I94" t="str">
        <f t="shared" si="55"/>
        <v>WEST-45</v>
      </c>
      <c r="J94" t="str">
        <f t="shared" si="47"/>
        <v>Jan 2026-WEST-45</v>
      </c>
      <c r="K94">
        <f t="shared" si="48"/>
        <v>45</v>
      </c>
      <c r="L94">
        <f t="shared" si="56"/>
        <v>38.29</v>
      </c>
      <c r="M94">
        <f>IF(V94="","",IFERROR(VLOOKUP(TRIM($V94),KEY!$B$2:$F$72,5,FALSE),""))</f>
        <v>29</v>
      </c>
      <c r="N94">
        <f t="shared" si="49"/>
        <v>38</v>
      </c>
      <c r="O94" t="str">
        <f t="shared" si="57"/>
        <v>LR-1</v>
      </c>
      <c r="P94">
        <f t="shared" si="58"/>
        <v>1</v>
      </c>
      <c r="Q94">
        <f t="shared" si="59"/>
        <v>1.02</v>
      </c>
      <c r="R94">
        <f t="shared" si="50"/>
        <v>2</v>
      </c>
      <c r="S94">
        <f t="shared" si="51"/>
        <v>1</v>
      </c>
      <c r="T94" t="str">
        <f>IF(V94="","",IFERROR(VLOOKUP(TRIM($V94),KEY!$B$2:$F$72,2,FALSE),""))</f>
        <v>LR</v>
      </c>
      <c r="V94" s="78" t="s">
        <v>154</v>
      </c>
      <c r="W94" s="78">
        <v>1</v>
      </c>
      <c r="X94" s="78">
        <v>0</v>
      </c>
      <c r="Y94" s="78">
        <v>0</v>
      </c>
      <c r="Z94" s="78">
        <v>0</v>
      </c>
      <c r="AA94" s="78">
        <v>0</v>
      </c>
      <c r="AB94" s="78">
        <v>1</v>
      </c>
      <c r="AC94" s="78">
        <v>0</v>
      </c>
      <c r="AD94" s="78">
        <v>1</v>
      </c>
      <c r="AE94" s="78">
        <v>100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</row>
    <row r="95" spans="1:39" x14ac:dyDescent="0.35">
      <c r="B95" t="str">
        <f t="shared" si="52"/>
        <v>Arizona-9</v>
      </c>
      <c r="C95" t="str">
        <f t="shared" si="53"/>
        <v>Dec 2025-Arizona-9</v>
      </c>
      <c r="D95">
        <f>IF(V95="","",COUNTIFS($H$88:$H$158,H95,$E$88:$E$158,"&lt;"&amp;E95)+1)</f>
        <v>9</v>
      </c>
      <c r="E95">
        <f t="shared" si="54"/>
        <v>8.06</v>
      </c>
      <c r="F95">
        <f>IF(V95="","",COUNTIFS($H$88:$H$158,H95,$V$88:$V$158,"&lt;"&amp;V95)+1)</f>
        <v>6</v>
      </c>
      <c r="G95">
        <f t="shared" si="46"/>
        <v>8</v>
      </c>
      <c r="H95" t="str">
        <f>IF(V95="","",IFERROR(VLOOKUP(TRIM($V95),KEY!$B$2:$F$72,3,FALSE),""))</f>
        <v>Arizona</v>
      </c>
      <c r="I95" t="str">
        <f t="shared" si="55"/>
        <v>WEST-44</v>
      </c>
      <c r="J95" t="str">
        <f t="shared" si="47"/>
        <v>Jan 2026-WEST-44</v>
      </c>
      <c r="K95">
        <f t="shared" si="48"/>
        <v>44</v>
      </c>
      <c r="L95">
        <f t="shared" si="56"/>
        <v>38.28</v>
      </c>
      <c r="M95">
        <f>IF(V95="","",IFERROR(VLOOKUP(TRIM($V95),KEY!$B$2:$F$72,5,FALSE),""))</f>
        <v>28</v>
      </c>
      <c r="N95">
        <f t="shared" si="49"/>
        <v>38</v>
      </c>
      <c r="O95" t="str">
        <f t="shared" si="57"/>
        <v>LR-1</v>
      </c>
      <c r="P95">
        <f t="shared" si="58"/>
        <v>1</v>
      </c>
      <c r="Q95">
        <f t="shared" si="59"/>
        <v>1.01</v>
      </c>
      <c r="R95">
        <f t="shared" si="50"/>
        <v>1</v>
      </c>
      <c r="S95">
        <f t="shared" si="51"/>
        <v>1</v>
      </c>
      <c r="T95" t="str">
        <f>IF(V95="","",IFERROR(VLOOKUP(TRIM($V95),KEY!$B$2:$F$72,2,FALSE),""))</f>
        <v>LR</v>
      </c>
      <c r="V95" s="78" t="s">
        <v>155</v>
      </c>
      <c r="W95" s="78">
        <v>1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1</v>
      </c>
      <c r="AG95" s="78">
        <v>0</v>
      </c>
      <c r="AH95" s="78">
        <v>0</v>
      </c>
      <c r="AI95" s="78">
        <v>100</v>
      </c>
      <c r="AJ95" s="78">
        <v>0</v>
      </c>
      <c r="AK95" s="78">
        <v>0</v>
      </c>
      <c r="AL95" s="78">
        <v>0</v>
      </c>
      <c r="AM95" s="78">
        <v>0</v>
      </c>
    </row>
    <row r="96" spans="1:39" x14ac:dyDescent="0.35">
      <c r="B96" t="str">
        <f t="shared" si="52"/>
        <v>Arizona-1</v>
      </c>
      <c r="C96" t="str">
        <f t="shared" si="53"/>
        <v>Dec 2025-Arizona-1</v>
      </c>
      <c r="D96">
        <f t="shared" si="44"/>
        <v>1</v>
      </c>
      <c r="E96">
        <f t="shared" si="54"/>
        <v>1.04</v>
      </c>
      <c r="F96">
        <f t="shared" si="45"/>
        <v>4</v>
      </c>
      <c r="G96">
        <f t="shared" si="46"/>
        <v>1</v>
      </c>
      <c r="H96" t="str">
        <f>IF(V96="","",IFERROR(VLOOKUP(TRIM($V96),KEY!$B$2:$F$72,3,FALSE),""))</f>
        <v>Arizona</v>
      </c>
      <c r="I96" t="str">
        <f t="shared" si="55"/>
        <v>WEST-1</v>
      </c>
      <c r="J96" t="str">
        <f t="shared" si="47"/>
        <v>Jan 2026-WEST-1</v>
      </c>
      <c r="K96">
        <f t="shared" si="48"/>
        <v>1</v>
      </c>
      <c r="L96">
        <f t="shared" si="56"/>
        <v>1.0900000000000001</v>
      </c>
      <c r="M96">
        <f>IF(V96="","",IFERROR(VLOOKUP(TRIM($V96),KEY!$B$2:$F$72,5,FALSE),""))</f>
        <v>9</v>
      </c>
      <c r="N96">
        <f t="shared" si="49"/>
        <v>1</v>
      </c>
      <c r="O96" t="str">
        <f t="shared" si="57"/>
        <v>Ultra-1</v>
      </c>
      <c r="P96">
        <f t="shared" si="58"/>
        <v>1</v>
      </c>
      <c r="Q96">
        <f t="shared" si="59"/>
        <v>1.01</v>
      </c>
      <c r="R96">
        <f t="shared" si="50"/>
        <v>1</v>
      </c>
      <c r="S96">
        <f t="shared" si="51"/>
        <v>1</v>
      </c>
      <c r="T96" t="str">
        <f>IF(V96="","",IFERROR(VLOOKUP(TRIM($V96),KEY!$B$2:$F$72,2,FALSE),""))</f>
        <v>Ultra</v>
      </c>
      <c r="V96" s="78" t="s">
        <v>156</v>
      </c>
      <c r="W96" s="78">
        <v>1</v>
      </c>
      <c r="X96" s="78">
        <v>1</v>
      </c>
      <c r="Y96" s="78">
        <v>100</v>
      </c>
      <c r="Z96" s="78">
        <v>0</v>
      </c>
      <c r="AA96" s="78">
        <v>1</v>
      </c>
      <c r="AB96" s="78">
        <v>0</v>
      </c>
      <c r="AC96" s="78">
        <v>0</v>
      </c>
      <c r="AD96" s="78">
        <v>1</v>
      </c>
      <c r="AE96" s="78">
        <v>100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</row>
    <row r="97" spans="2:39" x14ac:dyDescent="0.35">
      <c r="B97" t="str">
        <f t="shared" si="52"/>
        <v>Arizona-2</v>
      </c>
      <c r="C97" t="str">
        <f t="shared" si="53"/>
        <v>Dec 2025-Arizona-2</v>
      </c>
      <c r="D97">
        <f t="shared" si="44"/>
        <v>2</v>
      </c>
      <c r="E97">
        <f t="shared" si="54"/>
        <v>1.08</v>
      </c>
      <c r="F97">
        <f t="shared" si="45"/>
        <v>8</v>
      </c>
      <c r="G97">
        <f t="shared" si="46"/>
        <v>1</v>
      </c>
      <c r="H97" t="str">
        <f>IF(V97="","",IFERROR(VLOOKUP(TRIM($V97),KEY!$B$2:$F$72,3,FALSE),""))</f>
        <v>Arizona</v>
      </c>
      <c r="I97" t="str">
        <f t="shared" si="55"/>
        <v>WEST-2</v>
      </c>
      <c r="J97" t="str">
        <f t="shared" si="47"/>
        <v>Jan 2026-WEST-2</v>
      </c>
      <c r="K97">
        <f t="shared" si="48"/>
        <v>2</v>
      </c>
      <c r="L97">
        <f t="shared" si="56"/>
        <v>1.3599999999999999</v>
      </c>
      <c r="M97">
        <f>IF(V97="","",IFERROR(VLOOKUP(TRIM($V97),KEY!$B$2:$F$72,5,FALSE),""))</f>
        <v>36</v>
      </c>
      <c r="N97">
        <f t="shared" si="49"/>
        <v>1</v>
      </c>
      <c r="O97" t="str">
        <f t="shared" si="57"/>
        <v>Mercedes-Benz-1</v>
      </c>
      <c r="P97">
        <f t="shared" si="58"/>
        <v>1</v>
      </c>
      <c r="Q97">
        <f t="shared" si="59"/>
        <v>1.01</v>
      </c>
      <c r="R97">
        <f t="shared" si="50"/>
        <v>1</v>
      </c>
      <c r="S97">
        <f t="shared" si="51"/>
        <v>1</v>
      </c>
      <c r="T97" t="str">
        <f>IF(V97="","",IFERROR(VLOOKUP(TRIM($V97),KEY!$B$2:$F$72,2,FALSE),""))</f>
        <v>Mercedes-Benz</v>
      </c>
      <c r="V97" s="78" t="s">
        <v>152</v>
      </c>
      <c r="W97" s="78">
        <v>3</v>
      </c>
      <c r="X97" s="78">
        <v>3</v>
      </c>
      <c r="Y97" s="78">
        <v>100</v>
      </c>
      <c r="Z97" s="78">
        <v>0</v>
      </c>
      <c r="AA97" s="78">
        <v>3</v>
      </c>
      <c r="AB97" s="78">
        <v>0</v>
      </c>
      <c r="AC97" s="78">
        <v>0</v>
      </c>
      <c r="AD97" s="78">
        <v>3</v>
      </c>
      <c r="AE97" s="78">
        <v>100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</row>
    <row r="98" spans="2:39" x14ac:dyDescent="0.35">
      <c r="B98" t="str">
        <f t="shared" si="52"/>
        <v>Arizona-8</v>
      </c>
      <c r="C98" t="str">
        <f t="shared" si="53"/>
        <v>Dec 2025-Arizona-8</v>
      </c>
      <c r="D98">
        <f t="shared" si="44"/>
        <v>8</v>
      </c>
      <c r="E98">
        <f t="shared" si="54"/>
        <v>8.0299999999999994</v>
      </c>
      <c r="F98">
        <f t="shared" si="45"/>
        <v>3</v>
      </c>
      <c r="G98">
        <f t="shared" si="46"/>
        <v>8</v>
      </c>
      <c r="H98" t="str">
        <f>IF(V98="","",IFERROR(VLOOKUP(TRIM($V98),KEY!$B$2:$F$72,3,FALSE),""))</f>
        <v>Arizona</v>
      </c>
      <c r="I98" t="str">
        <f t="shared" si="55"/>
        <v>WEST-40</v>
      </c>
      <c r="J98" t="str">
        <f t="shared" si="47"/>
        <v>Jan 2026-WEST-40</v>
      </c>
      <c r="K98">
        <f t="shared" si="48"/>
        <v>40</v>
      </c>
      <c r="L98">
        <f t="shared" si="56"/>
        <v>38.06</v>
      </c>
      <c r="M98">
        <f>IF(V98="","",IFERROR(VLOOKUP(TRIM($V98),KEY!$B$2:$F$72,5,FALSE),""))</f>
        <v>6</v>
      </c>
      <c r="N98">
        <f t="shared" si="49"/>
        <v>38</v>
      </c>
      <c r="O98" t="str">
        <f t="shared" si="57"/>
        <v>Audi-5</v>
      </c>
      <c r="P98">
        <f t="shared" si="58"/>
        <v>5</v>
      </c>
      <c r="Q98">
        <f t="shared" si="59"/>
        <v>5.04</v>
      </c>
      <c r="R98">
        <f t="shared" si="50"/>
        <v>4</v>
      </c>
      <c r="S98">
        <f t="shared" si="51"/>
        <v>5</v>
      </c>
      <c r="T98" t="str">
        <f>IF(V98="","",IFERROR(VLOOKUP(TRIM($V98),KEY!$B$2:$F$72,2,FALSE),""))</f>
        <v>Audi</v>
      </c>
      <c r="V98" s="78" t="s">
        <v>157</v>
      </c>
      <c r="W98" s="78">
        <v>18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18</v>
      </c>
      <c r="AI98" s="78">
        <v>100</v>
      </c>
      <c r="AJ98" s="78">
        <v>0</v>
      </c>
      <c r="AK98" s="78">
        <v>0</v>
      </c>
      <c r="AL98" s="78">
        <v>0</v>
      </c>
      <c r="AM98" s="78">
        <v>0</v>
      </c>
    </row>
    <row r="99" spans="2:39" x14ac:dyDescent="0.35">
      <c r="B99" t="str">
        <f t="shared" si="52"/>
        <v>Arizona-3</v>
      </c>
      <c r="C99" t="str">
        <f t="shared" si="53"/>
        <v>Dec 2025-Arizona-3</v>
      </c>
      <c r="D99">
        <f t="shared" si="44"/>
        <v>3</v>
      </c>
      <c r="E99">
        <f t="shared" si="54"/>
        <v>3.02</v>
      </c>
      <c r="F99">
        <f t="shared" si="45"/>
        <v>2</v>
      </c>
      <c r="G99">
        <f t="shared" si="46"/>
        <v>3</v>
      </c>
      <c r="H99" t="str">
        <f>IF(V99="","",IFERROR(VLOOKUP(TRIM($V99),KEY!$B$2:$F$72,3,FALSE),""))</f>
        <v>Arizona</v>
      </c>
      <c r="I99" t="str">
        <f t="shared" si="55"/>
        <v>WEST-4</v>
      </c>
      <c r="J99" t="str">
        <f t="shared" si="47"/>
        <v>Jan 2026-WEST-4</v>
      </c>
      <c r="K99">
        <f t="shared" si="48"/>
        <v>4</v>
      </c>
      <c r="L99">
        <f t="shared" si="56"/>
        <v>4.03</v>
      </c>
      <c r="M99">
        <f>IF(V99="","",IFERROR(VLOOKUP(TRIM($V99),KEY!$B$2:$F$72,5,FALSE),""))</f>
        <v>3</v>
      </c>
      <c r="N99">
        <f t="shared" si="49"/>
        <v>4</v>
      </c>
      <c r="O99" t="str">
        <f t="shared" si="57"/>
        <v>Audi-1</v>
      </c>
      <c r="P99">
        <f t="shared" si="58"/>
        <v>1</v>
      </c>
      <c r="Q99">
        <f t="shared" si="59"/>
        <v>1.01</v>
      </c>
      <c r="R99">
        <f t="shared" si="50"/>
        <v>1</v>
      </c>
      <c r="S99">
        <f t="shared" si="51"/>
        <v>1</v>
      </c>
      <c r="T99" t="str">
        <f>IF(V99="","",IFERROR(VLOOKUP(TRIM($V99),KEY!$B$2:$F$72,2,FALSE),""))</f>
        <v>Audi</v>
      </c>
      <c r="V99" s="78" t="s">
        <v>158</v>
      </c>
      <c r="W99" s="78">
        <v>4</v>
      </c>
      <c r="X99" s="78">
        <v>2</v>
      </c>
      <c r="Y99" s="78">
        <v>50</v>
      </c>
      <c r="Z99" s="78">
        <v>0</v>
      </c>
      <c r="AA99" s="78">
        <v>2</v>
      </c>
      <c r="AB99" s="78">
        <v>0</v>
      </c>
      <c r="AC99" s="78">
        <v>0</v>
      </c>
      <c r="AD99" s="78">
        <v>2</v>
      </c>
      <c r="AE99" s="78">
        <v>50</v>
      </c>
      <c r="AF99" s="78">
        <v>2</v>
      </c>
      <c r="AG99" s="78">
        <v>0</v>
      </c>
      <c r="AH99" s="78">
        <v>0</v>
      </c>
      <c r="AI99" s="78">
        <v>50</v>
      </c>
      <c r="AJ99" s="78">
        <v>0</v>
      </c>
      <c r="AK99" s="78">
        <v>0</v>
      </c>
      <c r="AL99" s="78">
        <v>0</v>
      </c>
      <c r="AM99" s="78">
        <v>0</v>
      </c>
    </row>
    <row r="100" spans="2:39" x14ac:dyDescent="0.35">
      <c r="B100" t="str">
        <f t="shared" si="52"/>
        <v>Arizona-4</v>
      </c>
      <c r="C100" t="str">
        <f t="shared" si="53"/>
        <v>Dec 2025-Arizona-4</v>
      </c>
      <c r="D100">
        <f t="shared" si="44"/>
        <v>4</v>
      </c>
      <c r="E100">
        <f t="shared" si="54"/>
        <v>4.0999999999999996</v>
      </c>
      <c r="F100">
        <f t="shared" si="45"/>
        <v>10</v>
      </c>
      <c r="G100">
        <f t="shared" si="46"/>
        <v>4</v>
      </c>
      <c r="H100" t="str">
        <f>IF(V100="","",IFERROR(VLOOKUP(TRIM($V100),KEY!$B$2:$F$72,3,FALSE),""))</f>
        <v>Arizona</v>
      </c>
      <c r="I100" t="str">
        <f t="shared" si="55"/>
        <v>WEST-15</v>
      </c>
      <c r="J100" t="str">
        <f t="shared" si="47"/>
        <v>Jan 2026-WEST-15</v>
      </c>
      <c r="K100">
        <f t="shared" si="48"/>
        <v>15</v>
      </c>
      <c r="L100">
        <f t="shared" si="56"/>
        <v>13.39</v>
      </c>
      <c r="M100">
        <f>IF(V100="","",IFERROR(VLOOKUP(TRIM($V100),KEY!$B$2:$F$72,5,FALSE),""))</f>
        <v>39</v>
      </c>
      <c r="N100">
        <f t="shared" si="49"/>
        <v>13</v>
      </c>
      <c r="O100" t="str">
        <f t="shared" si="57"/>
        <v>MINI-3</v>
      </c>
      <c r="P100">
        <f t="shared" si="58"/>
        <v>3</v>
      </c>
      <c r="Q100">
        <f t="shared" si="59"/>
        <v>2.02</v>
      </c>
      <c r="R100">
        <f t="shared" si="50"/>
        <v>2</v>
      </c>
      <c r="S100">
        <f t="shared" si="51"/>
        <v>2</v>
      </c>
      <c r="T100" t="str">
        <f>IF(V100="","",IFERROR(VLOOKUP(TRIM($V100),KEY!$B$2:$F$72,2,FALSE),""))</f>
        <v>MINI</v>
      </c>
      <c r="V100" s="78" t="s">
        <v>160</v>
      </c>
      <c r="W100" s="78">
        <v>3</v>
      </c>
      <c r="X100" s="78">
        <v>1</v>
      </c>
      <c r="Y100" s="78">
        <v>33</v>
      </c>
      <c r="Z100" s="78">
        <v>0</v>
      </c>
      <c r="AA100" s="78">
        <v>1</v>
      </c>
      <c r="AB100" s="78">
        <v>0</v>
      </c>
      <c r="AC100" s="78">
        <v>0</v>
      </c>
      <c r="AD100" s="78">
        <v>1</v>
      </c>
      <c r="AE100" s="78">
        <v>33</v>
      </c>
      <c r="AF100" s="78">
        <v>2</v>
      </c>
      <c r="AG100" s="78">
        <v>0</v>
      </c>
      <c r="AH100" s="78">
        <v>0</v>
      </c>
      <c r="AI100" s="78">
        <v>67</v>
      </c>
      <c r="AJ100" s="78">
        <v>0</v>
      </c>
      <c r="AK100" s="78">
        <v>0</v>
      </c>
      <c r="AL100" s="78">
        <v>0</v>
      </c>
      <c r="AM100" s="78">
        <v>0</v>
      </c>
    </row>
    <row r="101" spans="2:39" x14ac:dyDescent="0.35">
      <c r="B101" t="str">
        <f t="shared" si="52"/>
        <v>Arizona-11</v>
      </c>
      <c r="C101" t="str">
        <f t="shared" si="53"/>
        <v>Dec 2025-Arizona-11</v>
      </c>
      <c r="D101">
        <f t="shared" si="44"/>
        <v>11</v>
      </c>
      <c r="E101">
        <f t="shared" si="54"/>
        <v>8.11</v>
      </c>
      <c r="F101">
        <f t="shared" si="45"/>
        <v>11</v>
      </c>
      <c r="G101">
        <f t="shared" si="46"/>
        <v>8</v>
      </c>
      <c r="H101" t="str">
        <f>IF(V101="","",IFERROR(VLOOKUP(TRIM($V101),KEY!$B$2:$F$72,3,FALSE),""))</f>
        <v>Arizona</v>
      </c>
      <c r="I101" t="str">
        <f t="shared" si="55"/>
        <v>WEST-48</v>
      </c>
      <c r="J101" t="str">
        <f t="shared" si="47"/>
        <v>Jan 2026-WEST-48</v>
      </c>
      <c r="K101">
        <f t="shared" si="48"/>
        <v>48</v>
      </c>
      <c r="L101">
        <f t="shared" si="56"/>
        <v>38.44</v>
      </c>
      <c r="M101">
        <f>IF(V101="","",IFERROR(VLOOKUP(TRIM($V101),KEY!$B$2:$F$72,5,FALSE),""))</f>
        <v>44</v>
      </c>
      <c r="N101">
        <f t="shared" si="49"/>
        <v>38</v>
      </c>
      <c r="O101" t="str">
        <f t="shared" si="57"/>
        <v>MINI-6</v>
      </c>
      <c r="P101">
        <f t="shared" si="58"/>
        <v>6</v>
      </c>
      <c r="Q101">
        <f t="shared" si="59"/>
        <v>5.0599999999999996</v>
      </c>
      <c r="R101">
        <f t="shared" si="50"/>
        <v>6</v>
      </c>
      <c r="S101">
        <f t="shared" si="51"/>
        <v>5</v>
      </c>
      <c r="T101" t="str">
        <f>IF(V101="","",IFERROR(VLOOKUP(TRIM($V101),KEY!$B$2:$F$72,2,FALSE),""))</f>
        <v>MINI</v>
      </c>
      <c r="V101" s="78" t="s">
        <v>159</v>
      </c>
      <c r="W101" s="78">
        <v>1</v>
      </c>
      <c r="X101" s="78">
        <v>0</v>
      </c>
      <c r="Y101" s="78">
        <v>0</v>
      </c>
      <c r="Z101" s="78">
        <v>0</v>
      </c>
      <c r="AA101" s="78">
        <v>0</v>
      </c>
      <c r="AB101" s="78">
        <v>0</v>
      </c>
      <c r="AC101" s="78">
        <v>0</v>
      </c>
      <c r="AD101" s="78">
        <v>0</v>
      </c>
      <c r="AE101" s="78">
        <v>0</v>
      </c>
      <c r="AF101" s="78">
        <v>1</v>
      </c>
      <c r="AG101" s="78">
        <v>0</v>
      </c>
      <c r="AH101" s="78">
        <v>0</v>
      </c>
      <c r="AI101" s="78">
        <v>100</v>
      </c>
      <c r="AJ101" s="78">
        <v>0</v>
      </c>
      <c r="AK101" s="78">
        <v>0</v>
      </c>
      <c r="AL101" s="78">
        <v>0</v>
      </c>
      <c r="AM101" s="78">
        <v>0</v>
      </c>
    </row>
    <row r="102" spans="2:39" x14ac:dyDescent="0.35">
      <c r="B102" t="str">
        <f t="shared" si="52"/>
        <v>Arizona-12</v>
      </c>
      <c r="C102" t="str">
        <f t="shared" si="53"/>
        <v>Dec 2025-Arizona-12</v>
      </c>
      <c r="D102">
        <f t="shared" si="44"/>
        <v>12</v>
      </c>
      <c r="E102">
        <f t="shared" si="54"/>
        <v>8.1199999999999992</v>
      </c>
      <c r="F102">
        <f t="shared" si="45"/>
        <v>12</v>
      </c>
      <c r="G102">
        <f t="shared" si="46"/>
        <v>8</v>
      </c>
      <c r="H102" t="str">
        <f>IF(V102="","",IFERROR(VLOOKUP(TRIM($V102),KEY!$B$2:$F$72,3,FALSE),""))</f>
        <v>Arizona</v>
      </c>
      <c r="I102" t="str">
        <f t="shared" si="55"/>
        <v>WEST-50</v>
      </c>
      <c r="J102" t="str">
        <f t="shared" si="47"/>
        <v>Jan 2026-WEST-50</v>
      </c>
      <c r="K102">
        <f t="shared" si="48"/>
        <v>50</v>
      </c>
      <c r="L102">
        <f t="shared" si="56"/>
        <v>38.5</v>
      </c>
      <c r="M102">
        <f>IF(V102="","",IFERROR(VLOOKUP(TRIM($V102),KEY!$B$2:$F$72,5,FALSE),""))</f>
        <v>50</v>
      </c>
      <c r="N102">
        <f t="shared" si="49"/>
        <v>38</v>
      </c>
      <c r="O102" t="str">
        <f t="shared" si="57"/>
        <v>Porsche-1</v>
      </c>
      <c r="P102">
        <f t="shared" si="58"/>
        <v>1</v>
      </c>
      <c r="Q102">
        <f t="shared" si="59"/>
        <v>1.01</v>
      </c>
      <c r="R102">
        <f t="shared" si="50"/>
        <v>1</v>
      </c>
      <c r="S102">
        <f t="shared" si="51"/>
        <v>1</v>
      </c>
      <c r="T102" t="str">
        <f>IF(V102="","",IFERROR(VLOOKUP(TRIM($V102),KEY!$B$2:$F$72,2,FALSE),""))</f>
        <v>Porsche</v>
      </c>
      <c r="V102" s="78" t="s">
        <v>161</v>
      </c>
      <c r="W102" s="78">
        <v>2</v>
      </c>
      <c r="X102" s="78">
        <v>0</v>
      </c>
      <c r="Y102" s="78">
        <v>0</v>
      </c>
      <c r="Z102" s="78">
        <v>1</v>
      </c>
      <c r="AA102" s="78">
        <v>0</v>
      </c>
      <c r="AB102" s="78">
        <v>0</v>
      </c>
      <c r="AC102" s="78">
        <v>0</v>
      </c>
      <c r="AD102" s="78">
        <v>1</v>
      </c>
      <c r="AE102" s="78">
        <v>50</v>
      </c>
      <c r="AF102" s="78">
        <v>0</v>
      </c>
      <c r="AG102" s="78">
        <v>0</v>
      </c>
      <c r="AH102" s="78">
        <v>0</v>
      </c>
      <c r="AI102" s="78">
        <v>0</v>
      </c>
      <c r="AJ102" s="78">
        <v>0</v>
      </c>
      <c r="AK102" s="78">
        <v>1</v>
      </c>
      <c r="AL102" s="78">
        <v>0</v>
      </c>
      <c r="AM102" s="78">
        <v>50</v>
      </c>
    </row>
    <row r="103" spans="2:39" x14ac:dyDescent="0.35">
      <c r="B103" t="str">
        <f>IF(V103="","",H103&amp;"-"&amp;D103)</f>
        <v>Indiana-2</v>
      </c>
      <c r="C103" t="str">
        <f>IF(V103="","",$W$1&amp;"-"&amp;B103)</f>
        <v>Dec 2025-Indiana-2</v>
      </c>
      <c r="D103">
        <f>IF(V103="","",COUNTIFS($H$88:$H$158,H103,$E$88:$E$158,"&lt;"&amp;E103)+1)</f>
        <v>2</v>
      </c>
      <c r="E103">
        <f>IF(V103="","",G103+(F103/100))</f>
        <v>2.02</v>
      </c>
      <c r="F103">
        <f>IF(V103="","",COUNTIFS($H$88:$H$158,H103,$V$88:$V$158,"&lt;"&amp;V103)+1)</f>
        <v>2</v>
      </c>
      <c r="G103">
        <f>IF(V103="","",COUNTIFS($H$88:$H$158,H103,$Y$88:$Y$158,"&gt;"&amp;Y103)+1)</f>
        <v>2</v>
      </c>
      <c r="H103" t="str">
        <f>IF(V103="","",IFERROR(VLOOKUP(TRIM($V103),KEY!$B$2:$F$72,3,FALSE),""))</f>
        <v>Indiana</v>
      </c>
      <c r="I103" t="str">
        <f>IF(V103="","","WEST-"&amp;K103)</f>
        <v>WEST-35</v>
      </c>
      <c r="J103" t="str">
        <f>IF(V103="","",$X$1&amp;"-"&amp;I103)</f>
        <v>Jan 2026-WEST-35</v>
      </c>
      <c r="K103">
        <f>IFERROR(IF(V103="","",RANK(L103,$L$88:$L$158,1)),"-")</f>
        <v>35</v>
      </c>
      <c r="L103">
        <f>IFERROR(IF(V103="","",N103+(M103/100)),"-")</f>
        <v>35.479999999999997</v>
      </c>
      <c r="M103">
        <f>IF(V103="","",IFERROR(VLOOKUP(TRIM($V103),KEY!$B$2:$F$72,5,FALSE),""))</f>
        <v>48</v>
      </c>
      <c r="N103">
        <f>IFERROR(IF(V103="","",RANK(Y103,$Y$88:$Y$158)),"-")</f>
        <v>35</v>
      </c>
      <c r="O103" t="str">
        <f>IF(V103="","",T103&amp;"-"&amp;P103)</f>
        <v>Honda-5</v>
      </c>
      <c r="P103">
        <f>IF(OR(V103="",Q103=""),"",COUNTIFS($T$4:$T$74,T103,$Q$4:$Q$74,"&lt;"&amp;Q103)+1)</f>
        <v>5</v>
      </c>
      <c r="Q103">
        <f>IF(OR(V103="",W103=0),"",S103+(R103/100))</f>
        <v>5.05</v>
      </c>
      <c r="R103">
        <f>IF(V103="","",COUNTIFS($T$88:$T$158,T103,$V$88:$V$158,"&lt;"&amp;V103)+1)</f>
        <v>5</v>
      </c>
      <c r="S103">
        <f>IF(V103="","",COUNTIFS($T$88:$T$158,T103,$Y$88:$Y$158,"&gt;"&amp;Y103)+1)</f>
        <v>5</v>
      </c>
      <c r="T103" t="str">
        <f>IF(V103="","",IFERROR(VLOOKUP(TRIM($V103),KEY!$B$2:$F$72,2,FALSE),""))</f>
        <v>Honda</v>
      </c>
      <c r="V103" s="78" t="s">
        <v>162</v>
      </c>
      <c r="W103" s="78">
        <v>46</v>
      </c>
      <c r="X103" s="78">
        <v>3</v>
      </c>
      <c r="Y103" s="78">
        <v>7</v>
      </c>
      <c r="Z103" s="78">
        <v>0</v>
      </c>
      <c r="AA103" s="78">
        <v>3</v>
      </c>
      <c r="AB103" s="78">
        <v>0</v>
      </c>
      <c r="AC103" s="78">
        <v>2</v>
      </c>
      <c r="AD103" s="78">
        <v>5</v>
      </c>
      <c r="AE103" s="78">
        <v>11</v>
      </c>
      <c r="AF103" s="78">
        <v>30</v>
      </c>
      <c r="AG103" s="78">
        <v>0</v>
      </c>
      <c r="AH103" s="78">
        <v>0</v>
      </c>
      <c r="AI103" s="78">
        <v>65</v>
      </c>
      <c r="AJ103" s="78">
        <v>0</v>
      </c>
      <c r="AK103" s="78">
        <v>11</v>
      </c>
      <c r="AL103" s="78">
        <v>0</v>
      </c>
      <c r="AM103" s="78">
        <v>24</v>
      </c>
    </row>
    <row r="104" spans="2:39" x14ac:dyDescent="0.35">
      <c r="B104" t="str">
        <f>IF(V104="","",H104&amp;"-"&amp;D104)</f>
        <v>Indiana-1</v>
      </c>
      <c r="C104" t="str">
        <f>IF(V104="","",$W$1&amp;"-"&amp;B104)</f>
        <v>Dec 2025-Indiana-1</v>
      </c>
      <c r="D104">
        <f>IF(V104="","",COUNTIFS($H$88:$H$158,H104,$E$88:$E$158,"&lt;"&amp;E104)+1)</f>
        <v>1</v>
      </c>
      <c r="E104">
        <f>IF(V104="","",G104+(F104/100))</f>
        <v>1.01</v>
      </c>
      <c r="F104">
        <f>IF(V104="","",COUNTIFS($H$88:$H$158,H104,$V$88:$V$158,"&lt;"&amp;V104)+1)</f>
        <v>1</v>
      </c>
      <c r="G104">
        <f>IF(V104="","",COUNTIFS($H$88:$H$158,H104,$Y$88:$Y$158,"&gt;"&amp;Y104)+1)</f>
        <v>1</v>
      </c>
      <c r="H104" t="str">
        <f>IF(V104="","",IFERROR(VLOOKUP(TRIM($V104),KEY!$B$2:$F$72,3,FALSE),""))</f>
        <v>Indiana</v>
      </c>
      <c r="I104" t="str">
        <f>IF(V104="","","WEST-"&amp;K104)</f>
        <v>WEST-19</v>
      </c>
      <c r="J104" t="str">
        <f>IF(V104="","",$X$1&amp;"-"&amp;I104)</f>
        <v>Jan 2026-WEST-19</v>
      </c>
      <c r="K104">
        <f>IFERROR(IF(V104="","",RANK(L104,$L$88:$L$158,1)),"-")</f>
        <v>19</v>
      </c>
      <c r="L104">
        <f>IFERROR(IF(V104="","",N104+(M104/100)),"-")</f>
        <v>17.47</v>
      </c>
      <c r="M104">
        <f>IF(V104="","",IFERROR(VLOOKUP(TRIM($V104),KEY!$B$2:$F$72,5,FALSE),""))</f>
        <v>47</v>
      </c>
      <c r="N104">
        <f>IFERROR(IF(V104="","",RANK(Y104,$Y$88:$Y$158)),"-")</f>
        <v>17</v>
      </c>
      <c r="O104" t="str">
        <f>IF(V104="","",T104&amp;"-"&amp;P104)</f>
        <v>Chevrolet-1</v>
      </c>
      <c r="P104">
        <f>IF(OR(V104="",Q104=""),"",COUNTIFS($T$4:$T$74,T104,$Q$4:$Q$74,"&lt;"&amp;Q104)+1)</f>
        <v>1</v>
      </c>
      <c r="Q104">
        <f>IF(OR(V104="",W104=0),"",S104+(R104/100))</f>
        <v>1.01</v>
      </c>
      <c r="R104">
        <f>IF(V104="","",COUNTIFS($T$88:$T$158,T104,$V$88:$V$158,"&lt;"&amp;V104)+1)</f>
        <v>1</v>
      </c>
      <c r="S104">
        <f>IF(V104="","",COUNTIFS($T$88:$T$158,T104,$Y$88:$Y$158,"&gt;"&amp;Y104)+1)</f>
        <v>1</v>
      </c>
      <c r="T104" t="str">
        <f>IF(V104="","",IFERROR(VLOOKUP(TRIM($V104),KEY!$B$2:$F$72,2,FALSE),""))</f>
        <v>Chevrolet</v>
      </c>
      <c r="V104" s="78" t="s">
        <v>163</v>
      </c>
      <c r="W104" s="78">
        <v>4</v>
      </c>
      <c r="X104" s="78">
        <v>1</v>
      </c>
      <c r="Y104" s="78">
        <v>25</v>
      </c>
      <c r="Z104" s="78">
        <v>0</v>
      </c>
      <c r="AA104" s="78">
        <v>1</v>
      </c>
      <c r="AB104" s="78">
        <v>0</v>
      </c>
      <c r="AC104" s="78">
        <v>1</v>
      </c>
      <c r="AD104" s="78">
        <v>2</v>
      </c>
      <c r="AE104" s="78">
        <v>50</v>
      </c>
      <c r="AF104" s="78">
        <v>1</v>
      </c>
      <c r="AG104" s="78">
        <v>0</v>
      </c>
      <c r="AH104" s="78">
        <v>0</v>
      </c>
      <c r="AI104" s="78">
        <v>25</v>
      </c>
      <c r="AJ104" s="78">
        <v>0</v>
      </c>
      <c r="AK104" s="78">
        <v>1</v>
      </c>
      <c r="AL104" s="78">
        <v>0</v>
      </c>
      <c r="AM104" s="78">
        <v>25</v>
      </c>
    </row>
    <row r="105" spans="2:39" x14ac:dyDescent="0.35">
      <c r="B105" t="str">
        <f t="shared" si="52"/>
        <v>Northern California-4</v>
      </c>
      <c r="C105" t="str">
        <f t="shared" si="53"/>
        <v>Dec 2025-Northern California-4</v>
      </c>
      <c r="D105">
        <f t="shared" si="44"/>
        <v>4</v>
      </c>
      <c r="E105">
        <f t="shared" si="54"/>
        <v>4.0199999999999996</v>
      </c>
      <c r="F105">
        <f t="shared" si="45"/>
        <v>2</v>
      </c>
      <c r="G105">
        <f t="shared" si="46"/>
        <v>4</v>
      </c>
      <c r="H105" t="str">
        <f>IF(V105="","",IFERROR(VLOOKUP(TRIM($V105),KEY!$B$2:$F$72,3,FALSE),""))</f>
        <v>Northern California</v>
      </c>
      <c r="I105" t="str">
        <f t="shared" si="55"/>
        <v>WEST-28</v>
      </c>
      <c r="J105" t="str">
        <f t="shared" si="47"/>
        <v>Jan 2026-WEST-28</v>
      </c>
      <c r="K105">
        <f t="shared" si="48"/>
        <v>28</v>
      </c>
      <c r="L105">
        <f t="shared" si="56"/>
        <v>28.17</v>
      </c>
      <c r="M105">
        <f>IF(V105="","",IFERROR(VLOOKUP(TRIM($V105),KEY!$B$2:$F$72,5,FALSE),""))</f>
        <v>17</v>
      </c>
      <c r="N105">
        <f t="shared" si="49"/>
        <v>28</v>
      </c>
      <c r="O105" t="str">
        <f t="shared" si="57"/>
        <v>Acura-2</v>
      </c>
      <c r="P105">
        <f t="shared" si="58"/>
        <v>2</v>
      </c>
      <c r="Q105">
        <f t="shared" si="59"/>
        <v>2.0299999999999998</v>
      </c>
      <c r="R105">
        <f t="shared" si="50"/>
        <v>3</v>
      </c>
      <c r="S105">
        <f t="shared" si="51"/>
        <v>2</v>
      </c>
      <c r="T105" t="str">
        <f>IF(V105="","",IFERROR(VLOOKUP(TRIM($V105),KEY!$B$2:$F$72,2,FALSE),""))</f>
        <v>Acura</v>
      </c>
      <c r="V105" s="78" t="s">
        <v>164</v>
      </c>
      <c r="W105" s="78">
        <v>7</v>
      </c>
      <c r="X105" s="78">
        <v>1</v>
      </c>
      <c r="Y105" s="78">
        <v>14</v>
      </c>
      <c r="Z105" s="78">
        <v>0</v>
      </c>
      <c r="AA105" s="78">
        <v>1</v>
      </c>
      <c r="AB105" s="78">
        <v>0</v>
      </c>
      <c r="AC105" s="78">
        <v>1</v>
      </c>
      <c r="AD105" s="78">
        <v>2</v>
      </c>
      <c r="AE105" s="78">
        <v>29</v>
      </c>
      <c r="AF105" s="78">
        <v>0</v>
      </c>
      <c r="AG105" s="78">
        <v>0</v>
      </c>
      <c r="AH105" s="78">
        <v>5</v>
      </c>
      <c r="AI105" s="78">
        <v>71</v>
      </c>
      <c r="AJ105" s="78">
        <v>0</v>
      </c>
      <c r="AK105" s="78">
        <v>0</v>
      </c>
      <c r="AL105" s="78">
        <v>0</v>
      </c>
      <c r="AM105" s="78">
        <v>0</v>
      </c>
    </row>
    <row r="106" spans="2:39" x14ac:dyDescent="0.35">
      <c r="B106" t="str">
        <f t="shared" si="52"/>
        <v>Northern California-2</v>
      </c>
      <c r="C106" t="str">
        <f t="shared" si="53"/>
        <v>Dec 2025-Northern California-2</v>
      </c>
      <c r="D106">
        <f t="shared" si="44"/>
        <v>2</v>
      </c>
      <c r="E106">
        <f t="shared" si="54"/>
        <v>2.04</v>
      </c>
      <c r="F106">
        <f t="shared" si="45"/>
        <v>4</v>
      </c>
      <c r="G106">
        <f t="shared" si="46"/>
        <v>2</v>
      </c>
      <c r="H106" t="str">
        <f>IF(V106="","",IFERROR(VLOOKUP(TRIM($V106),KEY!$B$2:$F$72,3,FALSE),""))</f>
        <v>Northern California</v>
      </c>
      <c r="I106" t="str">
        <f t="shared" si="55"/>
        <v>WEST-11</v>
      </c>
      <c r="J106" t="str">
        <f t="shared" si="47"/>
        <v>Jan 2026-WEST-11</v>
      </c>
      <c r="K106">
        <f t="shared" si="48"/>
        <v>11</v>
      </c>
      <c r="L106">
        <f t="shared" si="56"/>
        <v>11.24</v>
      </c>
      <c r="M106">
        <f>IF(V106="","",IFERROR(VLOOKUP(TRIM($V106),KEY!$B$2:$F$72,5,FALSE),""))</f>
        <v>24</v>
      </c>
      <c r="N106">
        <f t="shared" si="49"/>
        <v>11</v>
      </c>
      <c r="O106" t="str">
        <f t="shared" si="57"/>
        <v>Honda-2</v>
      </c>
      <c r="P106">
        <f t="shared" si="58"/>
        <v>2</v>
      </c>
      <c r="Q106">
        <f t="shared" si="59"/>
        <v>2.0299999999999998</v>
      </c>
      <c r="R106">
        <f t="shared" si="50"/>
        <v>3</v>
      </c>
      <c r="S106">
        <f t="shared" si="51"/>
        <v>2</v>
      </c>
      <c r="T106" t="str">
        <f>IF(V106="","",IFERROR(VLOOKUP(TRIM($V106),KEY!$B$2:$F$72,2,FALSE),""))</f>
        <v>Honda</v>
      </c>
      <c r="V106" s="78" t="s">
        <v>166</v>
      </c>
      <c r="W106" s="78">
        <v>38</v>
      </c>
      <c r="X106" s="78">
        <v>14</v>
      </c>
      <c r="Y106" s="78">
        <v>37</v>
      </c>
      <c r="Z106" s="78">
        <v>1</v>
      </c>
      <c r="AA106" s="78">
        <v>14</v>
      </c>
      <c r="AB106" s="78">
        <v>1</v>
      </c>
      <c r="AC106" s="78">
        <v>6</v>
      </c>
      <c r="AD106" s="78">
        <v>22</v>
      </c>
      <c r="AE106" s="78">
        <v>58</v>
      </c>
      <c r="AF106" s="78">
        <v>8</v>
      </c>
      <c r="AG106" s="78">
        <v>1</v>
      </c>
      <c r="AH106" s="78">
        <v>0</v>
      </c>
      <c r="AI106" s="78">
        <v>24</v>
      </c>
      <c r="AJ106" s="78">
        <v>3</v>
      </c>
      <c r="AK106" s="78">
        <v>4</v>
      </c>
      <c r="AL106" s="78">
        <v>0</v>
      </c>
      <c r="AM106" s="78">
        <v>18</v>
      </c>
    </row>
    <row r="107" spans="2:39" x14ac:dyDescent="0.35">
      <c r="B107" t="str">
        <f t="shared" ref="B107:B108" si="60">IF(V107="","",H107&amp;"-"&amp;D107)</f>
        <v>Northern California-6</v>
      </c>
      <c r="C107" t="str">
        <f t="shared" ref="C107:C108" si="61">IF(V107="","",$W$1&amp;"-"&amp;B107)</f>
        <v>Dec 2025-Northern California-6</v>
      </c>
      <c r="D107">
        <f t="shared" ref="D107:D108" si="62">IF(V107="","",COUNTIFS($H$88:$H$158,H107,$E$88:$E$158,"&lt;"&amp;E107)+1)</f>
        <v>6</v>
      </c>
      <c r="E107">
        <f t="shared" ref="E107:E108" si="63">IF(V107="","",G107+(F107/100))</f>
        <v>6.03</v>
      </c>
      <c r="F107">
        <f t="shared" ref="F107:F108" si="64">IF(V107="","",COUNTIFS($H$88:$H$158,H107,$V$88:$V$158,"&lt;"&amp;V107)+1)</f>
        <v>3</v>
      </c>
      <c r="G107">
        <f t="shared" ref="G107:G108" si="65">IF(V107="","",COUNTIFS($H$88:$H$158,H107,$Y$88:$Y$158,"&gt;"&amp;Y107)+1)</f>
        <v>6</v>
      </c>
      <c r="H107" t="str">
        <f>IF(V107="","",IFERROR(VLOOKUP(TRIM($V107),KEY!$B$2:$F$72,3,FALSE),""))</f>
        <v>Northern California</v>
      </c>
      <c r="I107" t="str">
        <f t="shared" ref="I107:I108" si="66">IF(V107="","","WEST-"&amp;K107)</f>
        <v>WEST-42</v>
      </c>
      <c r="J107" t="str">
        <f t="shared" ref="J107:J108" si="67">IF(V107="","",$X$1&amp;"-"&amp;I107)</f>
        <v>Jan 2026-WEST-42</v>
      </c>
      <c r="K107">
        <f t="shared" ref="K107:K108" si="68">IFERROR(IF(V107="","",RANK(L107,$L$88:$L$158,1)),"-")</f>
        <v>42</v>
      </c>
      <c r="L107">
        <f t="shared" ref="L107:L108" si="69">IFERROR(IF(V107="","",N107+(M107/100)),"-")</f>
        <v>38.18</v>
      </c>
      <c r="M107">
        <f>IF(V107="","",IFERROR(VLOOKUP(TRIM($V107),KEY!$B$2:$F$72,5,FALSE),""))</f>
        <v>18</v>
      </c>
      <c r="N107">
        <f t="shared" ref="N107:N108" si="70">IFERROR(IF(V107="","",RANK(Y107,$Y$88:$Y$158)),"-")</f>
        <v>38</v>
      </c>
      <c r="O107" t="str">
        <f t="shared" ref="O107:O108" si="71">IF(V107="","",T107&amp;"-"&amp;P107)</f>
        <v>Honda-6</v>
      </c>
      <c r="P107">
        <f t="shared" ref="P107:P108" si="72">IF(OR(V107="",Q107=""),"",COUNTIFS($T$4:$T$74,T107,$Q$4:$Q$74,"&lt;"&amp;Q107)+1)</f>
        <v>6</v>
      </c>
      <c r="Q107">
        <f t="shared" ref="Q107:Q108" si="73">IF(OR(V107="",W107=0),"",S107+(R107/100))</f>
        <v>6.01</v>
      </c>
      <c r="R107">
        <f t="shared" ref="R107:R108" si="74">IF(V107="","",COUNTIFS($T$88:$T$158,T107,$V$88:$V$158,"&lt;"&amp;V107)+1)</f>
        <v>1</v>
      </c>
      <c r="S107">
        <f t="shared" ref="S107:S108" si="75">IF(V107="","",COUNTIFS($T$88:$T$158,T107,$Y$88:$Y$158,"&gt;"&amp;Y107)+1)</f>
        <v>6</v>
      </c>
      <c r="T107" t="str">
        <f>IF(V107="","",IFERROR(VLOOKUP(TRIM($V107),KEY!$B$2:$F$72,2,FALSE),""))</f>
        <v>Honda</v>
      </c>
      <c r="V107" s="78" t="s">
        <v>165</v>
      </c>
      <c r="W107" s="78">
        <v>28</v>
      </c>
      <c r="X107" s="78">
        <v>0</v>
      </c>
      <c r="Y107" s="78">
        <v>0</v>
      </c>
      <c r="Z107" s="78">
        <v>0</v>
      </c>
      <c r="AA107" s="78">
        <v>0</v>
      </c>
      <c r="AB107" s="78">
        <v>0</v>
      </c>
      <c r="AC107" s="78">
        <v>0</v>
      </c>
      <c r="AD107" s="78">
        <v>0</v>
      </c>
      <c r="AE107" s="78">
        <v>0</v>
      </c>
      <c r="AF107" s="78">
        <v>0</v>
      </c>
      <c r="AG107" s="78">
        <v>0</v>
      </c>
      <c r="AH107" s="78">
        <v>28</v>
      </c>
      <c r="AI107" s="78">
        <v>100</v>
      </c>
      <c r="AJ107" s="78">
        <v>0</v>
      </c>
      <c r="AK107" s="78">
        <v>0</v>
      </c>
      <c r="AL107" s="78">
        <v>0</v>
      </c>
      <c r="AM107" s="78">
        <v>0</v>
      </c>
    </row>
    <row r="108" spans="2:39" x14ac:dyDescent="0.35">
      <c r="B108" t="str">
        <f t="shared" si="60"/>
        <v>Northern California-3</v>
      </c>
      <c r="C108" t="str">
        <f t="shared" si="61"/>
        <v>Dec 2025-Northern California-3</v>
      </c>
      <c r="D108">
        <f t="shared" si="62"/>
        <v>3</v>
      </c>
      <c r="E108">
        <f t="shared" si="63"/>
        <v>3.06</v>
      </c>
      <c r="F108">
        <f t="shared" si="64"/>
        <v>6</v>
      </c>
      <c r="G108">
        <f t="shared" si="65"/>
        <v>3</v>
      </c>
      <c r="H108" t="str">
        <f>IF(V108="","",IFERROR(VLOOKUP(TRIM($V108),KEY!$B$2:$F$72,3,FALSE),""))</f>
        <v>Northern California</v>
      </c>
      <c r="I108" t="str">
        <f t="shared" si="66"/>
        <v>WEST-24</v>
      </c>
      <c r="J108" t="str">
        <f t="shared" si="67"/>
        <v>Jan 2026-WEST-24</v>
      </c>
      <c r="K108">
        <f t="shared" si="68"/>
        <v>24</v>
      </c>
      <c r="L108">
        <f t="shared" si="69"/>
        <v>23.49</v>
      </c>
      <c r="M108">
        <f>IF(V108="","",IFERROR(VLOOKUP(TRIM($V108),KEY!$B$2:$F$72,5,FALSE),""))</f>
        <v>49</v>
      </c>
      <c r="N108">
        <f t="shared" si="70"/>
        <v>23</v>
      </c>
      <c r="O108" t="str">
        <f t="shared" si="71"/>
        <v>BMW-5</v>
      </c>
      <c r="P108">
        <f t="shared" si="72"/>
        <v>5</v>
      </c>
      <c r="Q108">
        <f t="shared" si="73"/>
        <v>4.09</v>
      </c>
      <c r="R108">
        <f t="shared" si="74"/>
        <v>9</v>
      </c>
      <c r="S108">
        <f t="shared" si="75"/>
        <v>4</v>
      </c>
      <c r="T108" t="str">
        <f>IF(V108="","",IFERROR(VLOOKUP(TRIM($V108),KEY!$B$2:$F$72,2,FALSE),""))</f>
        <v>BMW</v>
      </c>
      <c r="V108" s="79" t="s">
        <v>168</v>
      </c>
      <c r="W108" s="78">
        <v>42</v>
      </c>
      <c r="X108" s="78">
        <v>8</v>
      </c>
      <c r="Y108" s="78">
        <v>19</v>
      </c>
      <c r="Z108" s="78">
        <v>0</v>
      </c>
      <c r="AA108" s="78">
        <v>8</v>
      </c>
      <c r="AB108" s="78">
        <v>1</v>
      </c>
      <c r="AC108" s="78">
        <v>3</v>
      </c>
      <c r="AD108" s="78">
        <v>12</v>
      </c>
      <c r="AE108" s="78">
        <v>29</v>
      </c>
      <c r="AF108" s="78">
        <v>23</v>
      </c>
      <c r="AG108" s="78">
        <v>0</v>
      </c>
      <c r="AH108" s="78">
        <v>0</v>
      </c>
      <c r="AI108" s="78">
        <v>55</v>
      </c>
      <c r="AJ108" s="78">
        <v>6</v>
      </c>
      <c r="AK108" s="78">
        <v>1</v>
      </c>
      <c r="AL108" s="78">
        <v>0</v>
      </c>
      <c r="AM108" s="78">
        <v>17</v>
      </c>
    </row>
    <row r="109" spans="2:39" x14ac:dyDescent="0.35">
      <c r="B109" t="str">
        <f t="shared" ref="B109:B128" si="76">IF(V109="","",H109&amp;"-"&amp;D109)</f>
        <v>Northern California-8</v>
      </c>
      <c r="C109" t="str">
        <f t="shared" ref="C109:C128" si="77">IF(V109="","",$W$1&amp;"-"&amp;B109)</f>
        <v>Dec 2025-Northern California-8</v>
      </c>
      <c r="D109">
        <f t="shared" ref="D109:D128" si="78">IF(V109="","",COUNTIFS($H$88:$H$158,H109,$E$88:$E$158,"&lt;"&amp;E109)+1)</f>
        <v>8</v>
      </c>
      <c r="E109">
        <f t="shared" ref="E109:E128" si="79">IF(V109="","",G109+(F109/100))</f>
        <v>6.08</v>
      </c>
      <c r="F109">
        <f t="shared" ref="F109:F128" si="80">IF(V109="","",COUNTIFS($H$88:$H$158,H109,$V$88:$V$158,"&lt;"&amp;V109)+1)</f>
        <v>8</v>
      </c>
      <c r="G109">
        <f t="shared" ref="G109:G128" si="81">IF(V109="","",COUNTIFS($H$88:$H$158,H109,$Y$88:$Y$158,"&gt;"&amp;Y109)+1)</f>
        <v>6</v>
      </c>
      <c r="H109" t="str">
        <f>IF(V109="","",IFERROR(VLOOKUP(TRIM($V109),KEY!$B$2:$F$72,3,FALSE),""))</f>
        <v>Northern California</v>
      </c>
      <c r="I109" t="str">
        <f t="shared" ref="I109:I128" si="82">IF(V109="","","WEST-"&amp;K109)</f>
        <v>WEST-53</v>
      </c>
      <c r="J109" t="str">
        <f t="shared" ref="J109:J128" si="83">IF(V109="","",$X$1&amp;"-"&amp;I109)</f>
        <v>Jan 2026-WEST-53</v>
      </c>
      <c r="K109">
        <f t="shared" ref="K109:K128" si="84">IFERROR(IF(V109="","",RANK(L109,$L$88:$L$158,1)),"-")</f>
        <v>53</v>
      </c>
      <c r="L109">
        <f t="shared" ref="L109:L128" si="85">IFERROR(IF(V109="","",N109+(M109/100)),"-")</f>
        <v>38.58</v>
      </c>
      <c r="M109">
        <f>IF(V109="","",IFERROR(VLOOKUP(TRIM($V109),KEY!$B$2:$F$72,5,FALSE),""))</f>
        <v>58</v>
      </c>
      <c r="N109">
        <f t="shared" ref="N109:N128" si="86">IFERROR(IF(V109="","",RANK(Y109,$Y$88:$Y$158)),"-")</f>
        <v>38</v>
      </c>
      <c r="O109" t="str">
        <f t="shared" ref="O109:O128" si="87">IF(V109="","",T109&amp;"-"&amp;P109)</f>
        <v>Toyota-4</v>
      </c>
      <c r="P109">
        <f t="shared" ref="P109:P128" si="88">IF(OR(V109="",Q109=""),"",COUNTIFS($T$4:$T$74,T109,$Q$4:$Q$74,"&lt;"&amp;Q109)+1)</f>
        <v>4</v>
      </c>
      <c r="Q109">
        <f t="shared" ref="Q109:Q128" si="89">IF(OR(V109="",W109=0),"",S109+(R109/100))</f>
        <v>3.03</v>
      </c>
      <c r="R109">
        <f t="shared" ref="R109:R128" si="90">IF(V109="","",COUNTIFS($T$88:$T$158,T109,$V$88:$V$158,"&lt;"&amp;V109)+1)</f>
        <v>3</v>
      </c>
      <c r="S109">
        <f t="shared" ref="S109:S128" si="91">IF(V109="","",COUNTIFS($T$88:$T$158,T109,$Y$88:$Y$158,"&gt;"&amp;Y109)+1)</f>
        <v>3</v>
      </c>
      <c r="T109" t="str">
        <f>IF(V109="","",IFERROR(VLOOKUP(TRIM($V109),KEY!$B$2:$F$72,2,FALSE),""))</f>
        <v>Toyota</v>
      </c>
      <c r="V109" s="78" t="s">
        <v>167</v>
      </c>
      <c r="W109" s="78">
        <v>1</v>
      </c>
      <c r="X109" s="78">
        <v>0</v>
      </c>
      <c r="Y109" s="78">
        <v>0</v>
      </c>
      <c r="Z109" s="78">
        <v>0</v>
      </c>
      <c r="AA109" s="78">
        <v>0</v>
      </c>
      <c r="AB109" s="78">
        <v>0</v>
      </c>
      <c r="AC109" s="78">
        <v>0</v>
      </c>
      <c r="AD109" s="78">
        <v>0</v>
      </c>
      <c r="AE109" s="78">
        <v>0</v>
      </c>
      <c r="AF109" s="78">
        <v>1</v>
      </c>
      <c r="AG109" s="78">
        <v>0</v>
      </c>
      <c r="AH109" s="78">
        <v>0</v>
      </c>
      <c r="AI109" s="78">
        <v>100</v>
      </c>
      <c r="AJ109" s="78">
        <v>0</v>
      </c>
      <c r="AK109" s="78">
        <v>0</v>
      </c>
      <c r="AL109" s="78">
        <v>0</v>
      </c>
      <c r="AM109" s="78">
        <v>0</v>
      </c>
    </row>
    <row r="110" spans="2:39" x14ac:dyDescent="0.35">
      <c r="B110" t="str">
        <f t="shared" si="76"/>
        <v>Northern California-5</v>
      </c>
      <c r="C110" t="str">
        <f t="shared" si="77"/>
        <v>Dec 2025-Northern California-5</v>
      </c>
      <c r="D110">
        <f t="shared" si="78"/>
        <v>5</v>
      </c>
      <c r="E110">
        <f t="shared" si="79"/>
        <v>5.01</v>
      </c>
      <c r="F110">
        <f t="shared" si="80"/>
        <v>1</v>
      </c>
      <c r="G110">
        <f t="shared" si="81"/>
        <v>5</v>
      </c>
      <c r="H110" t="str">
        <f>IF(V110="","",IFERROR(VLOOKUP(TRIM($V110),KEY!$B$2:$F$72,3,FALSE),""))</f>
        <v>Northern California</v>
      </c>
      <c r="I110" t="str">
        <f t="shared" si="82"/>
        <v>WEST-36</v>
      </c>
      <c r="J110" t="str">
        <f t="shared" si="83"/>
        <v>Jan 2026-WEST-36</v>
      </c>
      <c r="K110">
        <f t="shared" si="84"/>
        <v>36</v>
      </c>
      <c r="L110">
        <f t="shared" si="85"/>
        <v>36.07</v>
      </c>
      <c r="M110">
        <f>IF(V110="","",IFERROR(VLOOKUP(TRIM($V110),KEY!$B$2:$F$72,5,FALSE),""))</f>
        <v>7</v>
      </c>
      <c r="N110">
        <f t="shared" si="86"/>
        <v>36</v>
      </c>
      <c r="O110" t="str">
        <f t="shared" si="87"/>
        <v>Audi-4</v>
      </c>
      <c r="P110">
        <f t="shared" si="88"/>
        <v>4</v>
      </c>
      <c r="Q110">
        <f t="shared" si="89"/>
        <v>4.05</v>
      </c>
      <c r="R110">
        <f t="shared" si="90"/>
        <v>5</v>
      </c>
      <c r="S110">
        <f t="shared" si="91"/>
        <v>4</v>
      </c>
      <c r="T110" t="str">
        <f>IF(V110="","",IFERROR(VLOOKUP(TRIM($V110),KEY!$B$2:$F$72,2,FALSE),""))</f>
        <v>Audi</v>
      </c>
      <c r="V110" s="78" t="s">
        <v>169</v>
      </c>
      <c r="W110" s="78">
        <v>53</v>
      </c>
      <c r="X110" s="78">
        <v>3</v>
      </c>
      <c r="Y110" s="78">
        <v>6</v>
      </c>
      <c r="Z110" s="78">
        <v>0</v>
      </c>
      <c r="AA110" s="78">
        <v>3</v>
      </c>
      <c r="AB110" s="78">
        <v>0</v>
      </c>
      <c r="AC110" s="78">
        <v>0</v>
      </c>
      <c r="AD110" s="78">
        <v>3</v>
      </c>
      <c r="AE110" s="78">
        <v>6</v>
      </c>
      <c r="AF110" s="78">
        <v>46</v>
      </c>
      <c r="AG110" s="78">
        <v>0</v>
      </c>
      <c r="AH110" s="78">
        <v>3</v>
      </c>
      <c r="AI110" s="78">
        <v>92</v>
      </c>
      <c r="AJ110" s="78">
        <v>1</v>
      </c>
      <c r="AK110" s="78">
        <v>0</v>
      </c>
      <c r="AL110" s="78">
        <v>0</v>
      </c>
      <c r="AM110" s="78">
        <v>2</v>
      </c>
    </row>
    <row r="111" spans="2:39" x14ac:dyDescent="0.35">
      <c r="B111" t="str">
        <f t="shared" si="76"/>
        <v>Northern California-1</v>
      </c>
      <c r="C111" t="str">
        <f t="shared" si="77"/>
        <v>Dec 2025-Northern California-1</v>
      </c>
      <c r="D111">
        <f t="shared" si="78"/>
        <v>1</v>
      </c>
      <c r="E111">
        <f t="shared" si="79"/>
        <v>1.05</v>
      </c>
      <c r="F111">
        <f t="shared" si="80"/>
        <v>5</v>
      </c>
      <c r="G111">
        <f t="shared" si="81"/>
        <v>1</v>
      </c>
      <c r="H111" t="str">
        <f>IF(V111="","",IFERROR(VLOOKUP(TRIM($V111),KEY!$B$2:$F$72,3,FALSE),""))</f>
        <v>Northern California</v>
      </c>
      <c r="I111" t="str">
        <f t="shared" si="82"/>
        <v>WEST-10</v>
      </c>
      <c r="J111" t="str">
        <f t="shared" si="83"/>
        <v>Jan 2026-WEST-10</v>
      </c>
      <c r="K111">
        <f t="shared" si="84"/>
        <v>10</v>
      </c>
      <c r="L111">
        <f t="shared" si="85"/>
        <v>9.41</v>
      </c>
      <c r="M111">
        <f>IF(V111="","",IFERROR(VLOOKUP(TRIM($V111),KEY!$B$2:$F$72,5,FALSE),""))</f>
        <v>41</v>
      </c>
      <c r="N111">
        <f t="shared" si="86"/>
        <v>9</v>
      </c>
      <c r="O111" t="str">
        <f t="shared" si="87"/>
        <v>MINI-2</v>
      </c>
      <c r="P111">
        <f t="shared" si="88"/>
        <v>2</v>
      </c>
      <c r="Q111">
        <f t="shared" si="89"/>
        <v>1.04</v>
      </c>
      <c r="R111">
        <f t="shared" si="90"/>
        <v>4</v>
      </c>
      <c r="S111">
        <f t="shared" si="91"/>
        <v>1</v>
      </c>
      <c r="T111" t="str">
        <f>IF(V111="","",IFERROR(VLOOKUP(TRIM($V111),KEY!$B$2:$F$72,2,FALSE),""))</f>
        <v>MINI</v>
      </c>
      <c r="V111" s="78" t="s">
        <v>170</v>
      </c>
      <c r="W111" s="78">
        <v>8</v>
      </c>
      <c r="X111" s="78">
        <v>3</v>
      </c>
      <c r="Y111" s="78">
        <v>38</v>
      </c>
      <c r="Z111" s="78">
        <v>0</v>
      </c>
      <c r="AA111" s="78">
        <v>3</v>
      </c>
      <c r="AB111" s="78">
        <v>0</v>
      </c>
      <c r="AC111" s="78">
        <v>1</v>
      </c>
      <c r="AD111" s="78">
        <v>4</v>
      </c>
      <c r="AE111" s="78">
        <v>50</v>
      </c>
      <c r="AF111" s="78">
        <v>2</v>
      </c>
      <c r="AG111" s="78">
        <v>0</v>
      </c>
      <c r="AH111" s="78">
        <v>0</v>
      </c>
      <c r="AI111" s="78">
        <v>25</v>
      </c>
      <c r="AJ111" s="78">
        <v>0</v>
      </c>
      <c r="AK111" s="78">
        <v>2</v>
      </c>
      <c r="AL111" s="78">
        <v>0</v>
      </c>
      <c r="AM111" s="78">
        <v>25</v>
      </c>
    </row>
    <row r="112" spans="2:39" x14ac:dyDescent="0.35">
      <c r="B112" t="str">
        <f t="shared" si="76"/>
        <v>Northern California-7</v>
      </c>
      <c r="C112" t="str">
        <f t="shared" si="77"/>
        <v>Dec 2025-Northern California-7</v>
      </c>
      <c r="D112">
        <f t="shared" si="78"/>
        <v>7</v>
      </c>
      <c r="E112">
        <f t="shared" si="79"/>
        <v>6.07</v>
      </c>
      <c r="F112">
        <f t="shared" si="80"/>
        <v>7</v>
      </c>
      <c r="G112">
        <f t="shared" si="81"/>
        <v>6</v>
      </c>
      <c r="H112" t="str">
        <f>IF(V112="","",IFERROR(VLOOKUP(TRIM($V112),KEY!$B$2:$F$72,3,FALSE),""))</f>
        <v>Northern California</v>
      </c>
      <c r="I112" t="str">
        <f t="shared" si="82"/>
        <v>WEST-51</v>
      </c>
      <c r="J112" t="str">
        <f t="shared" si="83"/>
        <v>Jan 2026-WEST-51</v>
      </c>
      <c r="K112">
        <f t="shared" si="84"/>
        <v>51</v>
      </c>
      <c r="L112">
        <f t="shared" si="85"/>
        <v>38.51</v>
      </c>
      <c r="M112">
        <f>IF(V112="","",IFERROR(VLOOKUP(TRIM($V112),KEY!$B$2:$F$72,5,FALSE),""))</f>
        <v>51</v>
      </c>
      <c r="N112">
        <f t="shared" si="86"/>
        <v>38</v>
      </c>
      <c r="O112" t="str">
        <f t="shared" si="87"/>
        <v>Porsche-2</v>
      </c>
      <c r="P112">
        <f t="shared" si="88"/>
        <v>2</v>
      </c>
      <c r="Q112">
        <f t="shared" si="89"/>
        <v>1.02</v>
      </c>
      <c r="R112">
        <f t="shared" si="90"/>
        <v>2</v>
      </c>
      <c r="S112">
        <f t="shared" si="91"/>
        <v>1</v>
      </c>
      <c r="T112" t="str">
        <f>IF(V112="","",IFERROR(VLOOKUP(TRIM($V112),KEY!$B$2:$F$72,2,FALSE),""))</f>
        <v>Porsche</v>
      </c>
      <c r="V112" s="78" t="s">
        <v>171</v>
      </c>
      <c r="W112" s="78">
        <v>6</v>
      </c>
      <c r="X112" s="78">
        <v>0</v>
      </c>
      <c r="Y112" s="78">
        <v>0</v>
      </c>
      <c r="Z112" s="78">
        <v>0</v>
      </c>
      <c r="AA112" s="78">
        <v>0</v>
      </c>
      <c r="AB112" s="78">
        <v>0</v>
      </c>
      <c r="AC112" s="78">
        <v>1</v>
      </c>
      <c r="AD112" s="78">
        <v>1</v>
      </c>
      <c r="AE112" s="78">
        <v>17</v>
      </c>
      <c r="AF112" s="78">
        <v>4</v>
      </c>
      <c r="AG112" s="78">
        <v>0</v>
      </c>
      <c r="AH112" s="78">
        <v>0</v>
      </c>
      <c r="AI112" s="78">
        <v>67</v>
      </c>
      <c r="AJ112" s="78">
        <v>0</v>
      </c>
      <c r="AK112" s="78">
        <v>1</v>
      </c>
      <c r="AL112" s="78">
        <v>0</v>
      </c>
      <c r="AM112" s="78">
        <v>17</v>
      </c>
    </row>
    <row r="113" spans="2:39" x14ac:dyDescent="0.35">
      <c r="B113" t="str">
        <f t="shared" si="76"/>
        <v>Orange County-8</v>
      </c>
      <c r="C113" t="str">
        <f t="shared" si="77"/>
        <v>Dec 2025-Orange County-8</v>
      </c>
      <c r="D113">
        <f t="shared" si="78"/>
        <v>8</v>
      </c>
      <c r="E113">
        <f t="shared" si="79"/>
        <v>8.08</v>
      </c>
      <c r="F113">
        <f t="shared" si="80"/>
        <v>8</v>
      </c>
      <c r="G113">
        <f t="shared" si="81"/>
        <v>8</v>
      </c>
      <c r="H113" t="str">
        <f>IF(V113="","",IFERROR(VLOOKUP(TRIM($V113),KEY!$B$2:$F$72,3,FALSE),""))</f>
        <v>Orange County</v>
      </c>
      <c r="I113" t="str">
        <f t="shared" si="82"/>
        <v>WEST-34</v>
      </c>
      <c r="J113" t="str">
        <f t="shared" si="83"/>
        <v>Jan 2026-WEST-34</v>
      </c>
      <c r="K113">
        <f t="shared" si="84"/>
        <v>34</v>
      </c>
      <c r="L113">
        <f t="shared" si="85"/>
        <v>32.619999999999997</v>
      </c>
      <c r="M113">
        <f>IF(V113="","",IFERROR(VLOOKUP(TRIM($V113),KEY!$B$2:$F$72,5,FALSE),""))</f>
        <v>62</v>
      </c>
      <c r="N113">
        <f t="shared" si="86"/>
        <v>32</v>
      </c>
      <c r="O113" t="str">
        <f t="shared" si="87"/>
        <v>Volkswagen-1</v>
      </c>
      <c r="P113">
        <f t="shared" si="88"/>
        <v>1</v>
      </c>
      <c r="Q113">
        <f t="shared" si="89"/>
        <v>1.02</v>
      </c>
      <c r="R113">
        <f t="shared" si="90"/>
        <v>2</v>
      </c>
      <c r="S113">
        <f t="shared" si="91"/>
        <v>1</v>
      </c>
      <c r="T113" t="str">
        <f>IF(V113="","",IFERROR(VLOOKUP(TRIM($V113),KEY!$B$2:$F$72,2,FALSE),""))</f>
        <v>Volkswagen</v>
      </c>
      <c r="V113" s="78" t="s">
        <v>172</v>
      </c>
      <c r="W113" s="78">
        <v>25</v>
      </c>
      <c r="X113" s="78">
        <v>2</v>
      </c>
      <c r="Y113" s="78">
        <v>8</v>
      </c>
      <c r="Z113" s="78">
        <v>1</v>
      </c>
      <c r="AA113" s="78">
        <v>2</v>
      </c>
      <c r="AB113" s="78">
        <v>0</v>
      </c>
      <c r="AC113" s="78">
        <v>1</v>
      </c>
      <c r="AD113" s="78">
        <v>4</v>
      </c>
      <c r="AE113" s="78">
        <v>16</v>
      </c>
      <c r="AF113" s="78">
        <v>0</v>
      </c>
      <c r="AG113" s="78">
        <v>0</v>
      </c>
      <c r="AH113" s="78">
        <v>11</v>
      </c>
      <c r="AI113" s="78">
        <v>44</v>
      </c>
      <c r="AJ113" s="78">
        <v>9</v>
      </c>
      <c r="AK113" s="78">
        <v>1</v>
      </c>
      <c r="AL113" s="78">
        <v>0</v>
      </c>
      <c r="AM113" s="78">
        <v>40</v>
      </c>
    </row>
    <row r="114" spans="2:39" x14ac:dyDescent="0.35">
      <c r="B114" t="str">
        <f t="shared" si="76"/>
        <v>Orange County-1</v>
      </c>
      <c r="C114" t="str">
        <f t="shared" si="77"/>
        <v>Dec 2025-Orange County-1</v>
      </c>
      <c r="D114">
        <f t="shared" si="78"/>
        <v>1</v>
      </c>
      <c r="E114">
        <f t="shared" si="79"/>
        <v>1.06</v>
      </c>
      <c r="F114">
        <f t="shared" si="80"/>
        <v>6</v>
      </c>
      <c r="G114">
        <f t="shared" si="81"/>
        <v>1</v>
      </c>
      <c r="H114" t="str">
        <f>IF(V114="","",IFERROR(VLOOKUP(TRIM($V114),KEY!$B$2:$F$72,3,FALSE),""))</f>
        <v>Orange County</v>
      </c>
      <c r="I114" t="str">
        <f t="shared" si="82"/>
        <v>WEST-8</v>
      </c>
      <c r="J114" t="str">
        <f t="shared" si="83"/>
        <v>Jan 2026-WEST-8</v>
      </c>
      <c r="K114">
        <f t="shared" si="84"/>
        <v>8</v>
      </c>
      <c r="L114">
        <f t="shared" si="85"/>
        <v>7.34</v>
      </c>
      <c r="M114">
        <f>IF(V114="","",IFERROR(VLOOKUP(TRIM($V114),KEY!$B$2:$F$72,5,FALSE),""))</f>
        <v>34</v>
      </c>
      <c r="N114">
        <f t="shared" si="86"/>
        <v>7</v>
      </c>
      <c r="O114" t="str">
        <f t="shared" si="87"/>
        <v>Lincoln-1</v>
      </c>
      <c r="P114">
        <f t="shared" si="88"/>
        <v>1</v>
      </c>
      <c r="Q114">
        <f t="shared" si="89"/>
        <v>1.01</v>
      </c>
      <c r="R114">
        <f t="shared" si="90"/>
        <v>1</v>
      </c>
      <c r="S114">
        <f t="shared" si="91"/>
        <v>1</v>
      </c>
      <c r="T114" t="str">
        <f>IF(V114="","",IFERROR(VLOOKUP(TRIM($V114),KEY!$B$2:$F$72,2,FALSE),""))</f>
        <v>Lincoln</v>
      </c>
      <c r="V114" s="78" t="s">
        <v>176</v>
      </c>
      <c r="W114" s="78">
        <v>5</v>
      </c>
      <c r="X114" s="78">
        <v>2</v>
      </c>
      <c r="Y114" s="78">
        <v>40</v>
      </c>
      <c r="Z114" s="78">
        <v>0</v>
      </c>
      <c r="AA114" s="78">
        <v>2</v>
      </c>
      <c r="AB114" s="78">
        <v>0</v>
      </c>
      <c r="AC114" s="78">
        <v>0</v>
      </c>
      <c r="AD114" s="78">
        <v>2</v>
      </c>
      <c r="AE114" s="78">
        <v>40</v>
      </c>
      <c r="AF114" s="78">
        <v>2</v>
      </c>
      <c r="AG114" s="78">
        <v>0</v>
      </c>
      <c r="AH114" s="78">
        <v>0</v>
      </c>
      <c r="AI114" s="78">
        <v>40</v>
      </c>
      <c r="AJ114" s="78">
        <v>0</v>
      </c>
      <c r="AK114" s="78">
        <v>1</v>
      </c>
      <c r="AL114" s="78">
        <v>0</v>
      </c>
      <c r="AM114" s="78">
        <v>20</v>
      </c>
    </row>
    <row r="115" spans="2:39" x14ac:dyDescent="0.35">
      <c r="B115" t="str">
        <f t="shared" si="76"/>
        <v>Orange County-3</v>
      </c>
      <c r="C115" t="str">
        <f t="shared" si="77"/>
        <v>Dec 2025-Orange County-3</v>
      </c>
      <c r="D115">
        <f t="shared" si="78"/>
        <v>3</v>
      </c>
      <c r="E115">
        <f t="shared" si="79"/>
        <v>3.04</v>
      </c>
      <c r="F115">
        <f t="shared" si="80"/>
        <v>4</v>
      </c>
      <c r="G115">
        <f t="shared" si="81"/>
        <v>3</v>
      </c>
      <c r="H115" t="str">
        <f>IF(V115="","",IFERROR(VLOOKUP(TRIM($V115),KEY!$B$2:$F$72,3,FALSE),""))</f>
        <v>Orange County</v>
      </c>
      <c r="I115" t="str">
        <f t="shared" si="82"/>
        <v>WEST-12</v>
      </c>
      <c r="J115" t="str">
        <f t="shared" si="83"/>
        <v>Jan 2026-WEST-12</v>
      </c>
      <c r="K115">
        <f t="shared" si="84"/>
        <v>12</v>
      </c>
      <c r="L115">
        <f t="shared" si="85"/>
        <v>12.19</v>
      </c>
      <c r="M115">
        <f>IF(V115="","",IFERROR(VLOOKUP(TRIM($V115),KEY!$B$2:$F$72,5,FALSE),""))</f>
        <v>19</v>
      </c>
      <c r="N115">
        <f t="shared" si="86"/>
        <v>12</v>
      </c>
      <c r="O115" t="str">
        <f t="shared" si="87"/>
        <v>BMW-3</v>
      </c>
      <c r="P115">
        <f t="shared" si="88"/>
        <v>3</v>
      </c>
      <c r="Q115">
        <f t="shared" si="89"/>
        <v>2.0699999999999998</v>
      </c>
      <c r="R115">
        <f t="shared" si="90"/>
        <v>7</v>
      </c>
      <c r="S115">
        <f t="shared" si="91"/>
        <v>2</v>
      </c>
      <c r="T115" t="str">
        <f>IF(V115="","",IFERROR(VLOOKUP(TRIM($V115),KEY!$B$2:$F$72,2,FALSE),""))</f>
        <v>BMW</v>
      </c>
      <c r="V115" s="78" t="s">
        <v>173</v>
      </c>
      <c r="W115" s="78">
        <v>119</v>
      </c>
      <c r="X115" s="78">
        <v>40</v>
      </c>
      <c r="Y115" s="78">
        <v>34</v>
      </c>
      <c r="Z115" s="78">
        <v>0</v>
      </c>
      <c r="AA115" s="78">
        <v>40</v>
      </c>
      <c r="AB115" s="78">
        <v>5</v>
      </c>
      <c r="AC115" s="78">
        <v>10</v>
      </c>
      <c r="AD115" s="78">
        <v>55</v>
      </c>
      <c r="AE115" s="78">
        <v>46</v>
      </c>
      <c r="AF115" s="78">
        <v>33</v>
      </c>
      <c r="AG115" s="78">
        <v>22</v>
      </c>
      <c r="AH115" s="78">
        <v>0</v>
      </c>
      <c r="AI115" s="78">
        <v>46</v>
      </c>
      <c r="AJ115" s="78">
        <v>4</v>
      </c>
      <c r="AK115" s="78">
        <v>5</v>
      </c>
      <c r="AL115" s="78">
        <v>0</v>
      </c>
      <c r="AM115" s="78">
        <v>8</v>
      </c>
    </row>
    <row r="116" spans="2:39" x14ac:dyDescent="0.35">
      <c r="B116" t="str">
        <f t="shared" si="76"/>
        <v>Orange County-7</v>
      </c>
      <c r="C116" t="str">
        <f t="shared" si="77"/>
        <v>Dec 2025-Orange County-7</v>
      </c>
      <c r="D116">
        <f t="shared" si="78"/>
        <v>7</v>
      </c>
      <c r="E116">
        <f t="shared" si="79"/>
        <v>7.03</v>
      </c>
      <c r="F116">
        <f t="shared" si="80"/>
        <v>3</v>
      </c>
      <c r="G116">
        <f t="shared" si="81"/>
        <v>7</v>
      </c>
      <c r="H116" t="str">
        <f>IF(V116="","",IFERROR(VLOOKUP(TRIM($V116),KEY!$B$2:$F$72,3,FALSE),""))</f>
        <v>Orange County</v>
      </c>
      <c r="I116" t="str">
        <f t="shared" si="82"/>
        <v>WEST-30</v>
      </c>
      <c r="J116" t="str">
        <f t="shared" si="83"/>
        <v>Jan 2026-WEST-30</v>
      </c>
      <c r="K116">
        <f t="shared" si="84"/>
        <v>30</v>
      </c>
      <c r="L116">
        <f t="shared" si="85"/>
        <v>30.15</v>
      </c>
      <c r="M116">
        <f>IF(V116="","",IFERROR(VLOOKUP(TRIM($V116),KEY!$B$2:$F$72,5,FALSE),""))</f>
        <v>15</v>
      </c>
      <c r="N116">
        <f t="shared" si="86"/>
        <v>30</v>
      </c>
      <c r="O116" t="str">
        <f t="shared" si="87"/>
        <v>BMW-6</v>
      </c>
      <c r="P116">
        <f t="shared" si="88"/>
        <v>6</v>
      </c>
      <c r="Q116">
        <f t="shared" si="89"/>
        <v>6.05</v>
      </c>
      <c r="R116">
        <f t="shared" si="90"/>
        <v>5</v>
      </c>
      <c r="S116">
        <f t="shared" si="91"/>
        <v>6</v>
      </c>
      <c r="T116" t="str">
        <f>IF(V116="","",IFERROR(VLOOKUP(TRIM($V116),KEY!$B$2:$F$72,2,FALSE),""))</f>
        <v>BMW</v>
      </c>
      <c r="V116" s="78" t="s">
        <v>174</v>
      </c>
      <c r="W116" s="78">
        <v>25</v>
      </c>
      <c r="X116" s="78">
        <v>3</v>
      </c>
      <c r="Y116" s="78">
        <v>12</v>
      </c>
      <c r="Z116" s="78">
        <v>0</v>
      </c>
      <c r="AA116" s="78">
        <v>3</v>
      </c>
      <c r="AB116" s="78">
        <v>0</v>
      </c>
      <c r="AC116" s="78">
        <v>1</v>
      </c>
      <c r="AD116" s="78">
        <v>4</v>
      </c>
      <c r="AE116" s="78">
        <v>16</v>
      </c>
      <c r="AF116" s="78">
        <v>0</v>
      </c>
      <c r="AG116" s="78">
        <v>0</v>
      </c>
      <c r="AH116" s="78">
        <v>21</v>
      </c>
      <c r="AI116" s="78">
        <v>84</v>
      </c>
      <c r="AJ116" s="78">
        <v>0</v>
      </c>
      <c r="AK116" s="78">
        <v>0</v>
      </c>
      <c r="AL116" s="78">
        <v>0</v>
      </c>
      <c r="AM116" s="78">
        <v>0</v>
      </c>
    </row>
    <row r="117" spans="2:39" x14ac:dyDescent="0.35">
      <c r="B117" t="str">
        <f t="shared" si="76"/>
        <v>Orange County-4</v>
      </c>
      <c r="C117" t="str">
        <f t="shared" si="77"/>
        <v>Dec 2025-Orange County-4</v>
      </c>
      <c r="D117">
        <f t="shared" si="78"/>
        <v>4</v>
      </c>
      <c r="E117">
        <f t="shared" si="79"/>
        <v>4.07</v>
      </c>
      <c r="F117">
        <f t="shared" si="80"/>
        <v>7</v>
      </c>
      <c r="G117">
        <f t="shared" si="81"/>
        <v>4</v>
      </c>
      <c r="H117" t="str">
        <f>IF(V117="","",IFERROR(VLOOKUP(TRIM($V117),KEY!$B$2:$F$72,3,FALSE),""))</f>
        <v>Orange County</v>
      </c>
      <c r="I117" t="str">
        <f t="shared" si="82"/>
        <v>WEST-26</v>
      </c>
      <c r="J117" t="str">
        <f t="shared" si="83"/>
        <v>Jan 2026-WEST-26</v>
      </c>
      <c r="K117">
        <f t="shared" si="84"/>
        <v>26</v>
      </c>
      <c r="L117">
        <f t="shared" si="85"/>
        <v>26.56</v>
      </c>
      <c r="M117">
        <f>IF(V117="","",IFERROR(VLOOKUP(TRIM($V117),KEY!$B$2:$F$72,5,FALSE),""))</f>
        <v>56</v>
      </c>
      <c r="N117">
        <f t="shared" si="86"/>
        <v>26</v>
      </c>
      <c r="O117" t="str">
        <f t="shared" si="87"/>
        <v>Subaru-1</v>
      </c>
      <c r="P117">
        <f t="shared" si="88"/>
        <v>1</v>
      </c>
      <c r="Q117">
        <f t="shared" si="89"/>
        <v>1.01</v>
      </c>
      <c r="R117">
        <f t="shared" si="90"/>
        <v>1</v>
      </c>
      <c r="S117">
        <f t="shared" si="91"/>
        <v>1</v>
      </c>
      <c r="T117" t="str">
        <f>IF(V117="","",IFERROR(VLOOKUP(TRIM($V117),KEY!$B$2:$F$72,2,FALSE),""))</f>
        <v>Subaru</v>
      </c>
      <c r="V117" s="78" t="s">
        <v>175</v>
      </c>
      <c r="W117" s="78">
        <v>19</v>
      </c>
      <c r="X117" s="78">
        <v>3</v>
      </c>
      <c r="Y117" s="78">
        <v>16</v>
      </c>
      <c r="Z117" s="78">
        <v>0</v>
      </c>
      <c r="AA117" s="78">
        <v>3</v>
      </c>
      <c r="AB117" s="78">
        <v>0</v>
      </c>
      <c r="AC117" s="78">
        <v>2</v>
      </c>
      <c r="AD117" s="78">
        <v>5</v>
      </c>
      <c r="AE117" s="78">
        <v>26</v>
      </c>
      <c r="AF117" s="78">
        <v>0</v>
      </c>
      <c r="AG117" s="78">
        <v>0</v>
      </c>
      <c r="AH117" s="78">
        <v>14</v>
      </c>
      <c r="AI117" s="78">
        <v>74</v>
      </c>
      <c r="AJ117" s="78">
        <v>0</v>
      </c>
      <c r="AK117" s="78">
        <v>0</v>
      </c>
      <c r="AL117" s="78">
        <v>0</v>
      </c>
      <c r="AM117" s="78">
        <v>0</v>
      </c>
    </row>
    <row r="118" spans="2:39" x14ac:dyDescent="0.35">
      <c r="B118" t="str">
        <f t="shared" si="76"/>
        <v>Orange County-5</v>
      </c>
      <c r="C118" t="str">
        <f t="shared" si="77"/>
        <v>Dec 2025-Orange County-5</v>
      </c>
      <c r="D118">
        <f t="shared" si="78"/>
        <v>5</v>
      </c>
      <c r="E118">
        <f t="shared" si="79"/>
        <v>5.0199999999999996</v>
      </c>
      <c r="F118">
        <f t="shared" si="80"/>
        <v>2</v>
      </c>
      <c r="G118">
        <f t="shared" si="81"/>
        <v>5</v>
      </c>
      <c r="H118" t="str">
        <f>IF(V118="","",IFERROR(VLOOKUP(TRIM($V118),KEY!$B$2:$F$72,3,FALSE),""))</f>
        <v>Orange County</v>
      </c>
      <c r="I118" t="str">
        <f t="shared" si="82"/>
        <v>WEST-27</v>
      </c>
      <c r="J118" t="str">
        <f t="shared" si="83"/>
        <v>Jan 2026-WEST-27</v>
      </c>
      <c r="K118">
        <f t="shared" si="84"/>
        <v>27</v>
      </c>
      <c r="L118">
        <f t="shared" si="85"/>
        <v>27.08</v>
      </c>
      <c r="M118">
        <f>IF(V118="","",IFERROR(VLOOKUP(TRIM($V118),KEY!$B$2:$F$72,5,FALSE),""))</f>
        <v>8</v>
      </c>
      <c r="N118">
        <f t="shared" si="86"/>
        <v>27</v>
      </c>
      <c r="O118" t="str">
        <f t="shared" si="87"/>
        <v>Audi-4</v>
      </c>
      <c r="P118">
        <f t="shared" si="88"/>
        <v>4</v>
      </c>
      <c r="Q118">
        <f t="shared" si="89"/>
        <v>3.06</v>
      </c>
      <c r="R118">
        <f t="shared" si="90"/>
        <v>6</v>
      </c>
      <c r="S118">
        <f t="shared" si="91"/>
        <v>3</v>
      </c>
      <c r="T118" t="str">
        <f>IF(V118="","",IFERROR(VLOOKUP(TRIM($V118),KEY!$B$2:$F$72,2,FALSE),""))</f>
        <v>Audi</v>
      </c>
      <c r="V118" s="78" t="s">
        <v>177</v>
      </c>
      <c r="W118" s="78">
        <v>53</v>
      </c>
      <c r="X118" s="78">
        <v>8</v>
      </c>
      <c r="Y118" s="78">
        <v>15</v>
      </c>
      <c r="Z118" s="78">
        <v>0</v>
      </c>
      <c r="AA118" s="78">
        <v>8</v>
      </c>
      <c r="AB118" s="78">
        <v>0</v>
      </c>
      <c r="AC118" s="78">
        <v>3</v>
      </c>
      <c r="AD118" s="78">
        <v>11</v>
      </c>
      <c r="AE118" s="78">
        <v>21</v>
      </c>
      <c r="AF118" s="78">
        <v>16</v>
      </c>
      <c r="AG118" s="78">
        <v>11</v>
      </c>
      <c r="AH118" s="78">
        <v>0</v>
      </c>
      <c r="AI118" s="78">
        <v>51</v>
      </c>
      <c r="AJ118" s="78">
        <v>2</v>
      </c>
      <c r="AK118" s="78">
        <v>13</v>
      </c>
      <c r="AL118" s="78">
        <v>0</v>
      </c>
      <c r="AM118" s="78">
        <v>28</v>
      </c>
    </row>
    <row r="119" spans="2:39" x14ac:dyDescent="0.35">
      <c r="B119" t="str">
        <f t="shared" si="76"/>
        <v>Orange County-2</v>
      </c>
      <c r="C119" t="str">
        <f t="shared" si="77"/>
        <v>Dec 2025-Orange County-2</v>
      </c>
      <c r="D119">
        <f t="shared" si="78"/>
        <v>2</v>
      </c>
      <c r="E119">
        <f t="shared" si="79"/>
        <v>2.0099999999999998</v>
      </c>
      <c r="F119">
        <f t="shared" si="80"/>
        <v>1</v>
      </c>
      <c r="G119">
        <f t="shared" si="81"/>
        <v>2</v>
      </c>
      <c r="H119" t="str">
        <f>IF(V119="","",IFERROR(VLOOKUP(TRIM($V119),KEY!$B$2:$F$72,3,FALSE),""))</f>
        <v>Orange County</v>
      </c>
      <c r="I119" t="str">
        <f t="shared" si="82"/>
        <v>WEST-9</v>
      </c>
      <c r="J119" t="str">
        <f t="shared" si="83"/>
        <v>Jan 2026-WEST-9</v>
      </c>
      <c r="K119">
        <f t="shared" si="84"/>
        <v>9</v>
      </c>
      <c r="L119">
        <f t="shared" si="85"/>
        <v>9.0500000000000007</v>
      </c>
      <c r="M119">
        <f>IF(V119="","",IFERROR(VLOOKUP(TRIM($V119),KEY!$B$2:$F$72,5,FALSE),""))</f>
        <v>5</v>
      </c>
      <c r="N119">
        <f t="shared" si="86"/>
        <v>9</v>
      </c>
      <c r="O119" t="str">
        <f t="shared" si="87"/>
        <v>Audi-3</v>
      </c>
      <c r="P119">
        <f t="shared" si="88"/>
        <v>3</v>
      </c>
      <c r="Q119">
        <f t="shared" si="89"/>
        <v>2.0299999999999998</v>
      </c>
      <c r="R119">
        <f t="shared" si="90"/>
        <v>3</v>
      </c>
      <c r="S119">
        <f t="shared" si="91"/>
        <v>2</v>
      </c>
      <c r="T119" t="str">
        <f>IF(V119="","",IFERROR(VLOOKUP(TRIM($V119),KEY!$B$2:$F$72,2,FALSE),""))</f>
        <v>Audi</v>
      </c>
      <c r="V119" s="78" t="s">
        <v>178</v>
      </c>
      <c r="W119" s="78">
        <v>8</v>
      </c>
      <c r="X119" s="78">
        <v>3</v>
      </c>
      <c r="Y119" s="78">
        <v>38</v>
      </c>
      <c r="Z119" s="78">
        <v>0</v>
      </c>
      <c r="AA119" s="78">
        <v>3</v>
      </c>
      <c r="AB119" s="78">
        <v>0</v>
      </c>
      <c r="AC119" s="78">
        <v>1</v>
      </c>
      <c r="AD119" s="78">
        <v>4</v>
      </c>
      <c r="AE119" s="78">
        <v>50</v>
      </c>
      <c r="AF119" s="78">
        <v>1</v>
      </c>
      <c r="AG119" s="78">
        <v>0</v>
      </c>
      <c r="AH119" s="78">
        <v>0</v>
      </c>
      <c r="AI119" s="78">
        <v>13</v>
      </c>
      <c r="AJ119" s="78">
        <v>2</v>
      </c>
      <c r="AK119" s="78">
        <v>1</v>
      </c>
      <c r="AL119" s="78">
        <v>0</v>
      </c>
      <c r="AM119" s="78">
        <v>38</v>
      </c>
    </row>
    <row r="120" spans="2:39" x14ac:dyDescent="0.35">
      <c r="B120" t="str">
        <f t="shared" si="76"/>
        <v>Orange County-6</v>
      </c>
      <c r="C120" t="str">
        <f t="shared" si="77"/>
        <v>Dec 2025-Orange County-6</v>
      </c>
      <c r="D120">
        <f t="shared" si="78"/>
        <v>6</v>
      </c>
      <c r="E120">
        <f t="shared" si="79"/>
        <v>6.05</v>
      </c>
      <c r="F120">
        <f t="shared" si="80"/>
        <v>5</v>
      </c>
      <c r="G120">
        <f t="shared" si="81"/>
        <v>6</v>
      </c>
      <c r="H120" t="str">
        <f>IF(V120="","",IFERROR(VLOOKUP(TRIM($V120),KEY!$B$2:$F$72,3,FALSE),""))</f>
        <v>Orange County</v>
      </c>
      <c r="I120" t="str">
        <f t="shared" si="82"/>
        <v>WEST-29</v>
      </c>
      <c r="J120" t="str">
        <f t="shared" si="83"/>
        <v>Jan 2026-WEST-29</v>
      </c>
      <c r="K120">
        <f t="shared" si="84"/>
        <v>29</v>
      </c>
      <c r="L120">
        <f t="shared" si="85"/>
        <v>28.2</v>
      </c>
      <c r="M120">
        <f>IF(V120="","",IFERROR(VLOOKUP(TRIM($V120),KEY!$B$2:$F$72,5,FALSE),""))</f>
        <v>20</v>
      </c>
      <c r="N120">
        <f t="shared" si="86"/>
        <v>28</v>
      </c>
      <c r="O120" t="str">
        <f t="shared" si="87"/>
        <v>MINI-4</v>
      </c>
      <c r="P120">
        <f t="shared" si="88"/>
        <v>4</v>
      </c>
      <c r="Q120">
        <f t="shared" si="89"/>
        <v>4.01</v>
      </c>
      <c r="R120">
        <f t="shared" si="90"/>
        <v>1</v>
      </c>
      <c r="S120">
        <f t="shared" si="91"/>
        <v>4</v>
      </c>
      <c r="T120" t="str">
        <f>IF(V120="","",IFERROR(VLOOKUP(TRIM($V120),KEY!$B$2:$F$72,2,FALSE),""))</f>
        <v>MINI</v>
      </c>
      <c r="V120" s="78" t="s">
        <v>179</v>
      </c>
      <c r="W120" s="78">
        <v>7</v>
      </c>
      <c r="X120" s="78">
        <v>1</v>
      </c>
      <c r="Y120" s="78">
        <v>14</v>
      </c>
      <c r="Z120" s="78">
        <v>0</v>
      </c>
      <c r="AA120" s="78">
        <v>1</v>
      </c>
      <c r="AB120" s="78">
        <v>0</v>
      </c>
      <c r="AC120" s="78">
        <v>1</v>
      </c>
      <c r="AD120" s="78">
        <v>2</v>
      </c>
      <c r="AE120" s="78">
        <v>29</v>
      </c>
      <c r="AF120" s="78">
        <v>5</v>
      </c>
      <c r="AG120" s="78">
        <v>0</v>
      </c>
      <c r="AH120" s="78">
        <v>0</v>
      </c>
      <c r="AI120" s="78">
        <v>71</v>
      </c>
      <c r="AJ120" s="78">
        <v>0</v>
      </c>
      <c r="AK120" s="78">
        <v>0</v>
      </c>
      <c r="AL120" s="78">
        <v>0</v>
      </c>
      <c r="AM120" s="78">
        <v>0</v>
      </c>
    </row>
    <row r="121" spans="2:39" x14ac:dyDescent="0.35">
      <c r="B121" t="str">
        <f t="shared" si="76"/>
        <v>Southern California-7</v>
      </c>
      <c r="C121" t="str">
        <f t="shared" si="77"/>
        <v>Dec 2025-Southern California-7</v>
      </c>
      <c r="D121">
        <f t="shared" si="78"/>
        <v>7</v>
      </c>
      <c r="E121">
        <f t="shared" si="79"/>
        <v>7.01</v>
      </c>
      <c r="F121">
        <f t="shared" si="80"/>
        <v>1</v>
      </c>
      <c r="G121">
        <f t="shared" si="81"/>
        <v>7</v>
      </c>
      <c r="H121" t="str">
        <f>IF(V121="","",IFERROR(VLOOKUP(TRIM($V121),KEY!$B$2:$F$72,3,FALSE),""))</f>
        <v>Southern California</v>
      </c>
      <c r="I121" t="str">
        <f t="shared" si="82"/>
        <v>WEST-38</v>
      </c>
      <c r="J121" t="str">
        <f t="shared" si="83"/>
        <v>Jan 2026-WEST-38</v>
      </c>
      <c r="K121">
        <f t="shared" si="84"/>
        <v>38</v>
      </c>
      <c r="L121">
        <f t="shared" si="85"/>
        <v>38.020000000000003</v>
      </c>
      <c r="M121">
        <f>IF(V121="","",IFERROR(VLOOKUP(TRIM($V121),KEY!$B$2:$F$72,5,FALSE),""))</f>
        <v>2</v>
      </c>
      <c r="N121">
        <f t="shared" si="86"/>
        <v>38</v>
      </c>
      <c r="O121" t="str">
        <f t="shared" si="87"/>
        <v>Acura-3</v>
      </c>
      <c r="P121">
        <f t="shared" si="88"/>
        <v>3</v>
      </c>
      <c r="Q121">
        <f t="shared" si="89"/>
        <v>3.02</v>
      </c>
      <c r="R121">
        <f t="shared" si="90"/>
        <v>2</v>
      </c>
      <c r="S121">
        <f t="shared" si="91"/>
        <v>3</v>
      </c>
      <c r="T121" t="str">
        <f>IF(V121="","",IFERROR(VLOOKUP(TRIM($V121),KEY!$B$2:$F$72,2,FALSE),""))</f>
        <v>Acura</v>
      </c>
      <c r="V121" s="78" t="s">
        <v>180</v>
      </c>
      <c r="W121" s="78">
        <v>8</v>
      </c>
      <c r="X121" s="78">
        <v>0</v>
      </c>
      <c r="Y121" s="78">
        <v>0</v>
      </c>
      <c r="Z121" s="78">
        <v>0</v>
      </c>
      <c r="AA121" s="78">
        <v>0</v>
      </c>
      <c r="AB121" s="78">
        <v>0</v>
      </c>
      <c r="AC121" s="78">
        <v>0</v>
      </c>
      <c r="AD121" s="78">
        <v>0</v>
      </c>
      <c r="AE121" s="78">
        <v>0</v>
      </c>
      <c r="AF121" s="78">
        <v>0</v>
      </c>
      <c r="AG121" s="78">
        <v>0</v>
      </c>
      <c r="AH121" s="78">
        <v>8</v>
      </c>
      <c r="AI121" s="78">
        <v>100</v>
      </c>
      <c r="AJ121" s="78">
        <v>0</v>
      </c>
      <c r="AK121" s="78">
        <v>0</v>
      </c>
      <c r="AL121" s="78">
        <v>0</v>
      </c>
      <c r="AM121" s="78">
        <v>0</v>
      </c>
    </row>
    <row r="122" spans="2:39" x14ac:dyDescent="0.35">
      <c r="B122" t="str">
        <f t="shared" si="76"/>
        <v>Southern California-2</v>
      </c>
      <c r="C122" t="str">
        <f t="shared" si="77"/>
        <v>Dec 2025-Southern California-2</v>
      </c>
      <c r="D122">
        <f t="shared" si="78"/>
        <v>2</v>
      </c>
      <c r="E122">
        <f t="shared" si="79"/>
        <v>2.0499999999999998</v>
      </c>
      <c r="F122">
        <f t="shared" si="80"/>
        <v>5</v>
      </c>
      <c r="G122">
        <f t="shared" si="81"/>
        <v>2</v>
      </c>
      <c r="H122" t="str">
        <f>IF(V122="","",IFERROR(VLOOKUP(TRIM($V122),KEY!$B$2:$F$72,3,FALSE),""))</f>
        <v>Southern California</v>
      </c>
      <c r="I122" t="str">
        <f t="shared" si="82"/>
        <v>WEST-21</v>
      </c>
      <c r="J122" t="str">
        <f t="shared" si="83"/>
        <v>Jan 2026-WEST-21</v>
      </c>
      <c r="K122">
        <f t="shared" si="84"/>
        <v>21</v>
      </c>
      <c r="L122">
        <f t="shared" si="85"/>
        <v>21.25</v>
      </c>
      <c r="M122">
        <f>IF(V122="","",IFERROR(VLOOKUP(TRIM($V122),KEY!$B$2:$F$72,5,FALSE),""))</f>
        <v>25</v>
      </c>
      <c r="N122">
        <f t="shared" si="86"/>
        <v>21</v>
      </c>
      <c r="O122" t="str">
        <f t="shared" si="87"/>
        <v>Honda-3</v>
      </c>
      <c r="P122">
        <f t="shared" si="88"/>
        <v>3</v>
      </c>
      <c r="Q122">
        <f t="shared" si="89"/>
        <v>3.04</v>
      </c>
      <c r="R122">
        <f t="shared" si="90"/>
        <v>4</v>
      </c>
      <c r="S122">
        <f t="shared" si="91"/>
        <v>3</v>
      </c>
      <c r="T122" t="str">
        <f>IF(V122="","",IFERROR(VLOOKUP(TRIM($V122),KEY!$B$2:$F$72,2,FALSE),""))</f>
        <v>Honda</v>
      </c>
      <c r="V122" s="78" t="s">
        <v>181</v>
      </c>
      <c r="W122" s="78">
        <v>22</v>
      </c>
      <c r="X122" s="78">
        <v>5</v>
      </c>
      <c r="Y122" s="78">
        <v>23</v>
      </c>
      <c r="Z122" s="78">
        <v>0</v>
      </c>
      <c r="AA122" s="78">
        <v>5</v>
      </c>
      <c r="AB122" s="78">
        <v>1</v>
      </c>
      <c r="AC122" s="78">
        <v>2</v>
      </c>
      <c r="AD122" s="78">
        <v>8</v>
      </c>
      <c r="AE122" s="78">
        <v>36</v>
      </c>
      <c r="AF122" s="78">
        <v>6</v>
      </c>
      <c r="AG122" s="78">
        <v>0</v>
      </c>
      <c r="AH122" s="78">
        <v>8</v>
      </c>
      <c r="AI122" s="78">
        <v>64</v>
      </c>
      <c r="AJ122" s="78">
        <v>0</v>
      </c>
      <c r="AK122" s="78">
        <v>0</v>
      </c>
      <c r="AL122" s="78">
        <v>0</v>
      </c>
      <c r="AM122" s="78">
        <v>0</v>
      </c>
    </row>
    <row r="123" spans="2:39" x14ac:dyDescent="0.35">
      <c r="B123" t="str">
        <f t="shared" si="76"/>
        <v>Southern California-9</v>
      </c>
      <c r="C123" t="str">
        <f t="shared" si="77"/>
        <v>Dec 2025-Southern California-9</v>
      </c>
      <c r="D123">
        <f t="shared" si="78"/>
        <v>9</v>
      </c>
      <c r="E123">
        <f t="shared" si="79"/>
        <v>7.07</v>
      </c>
      <c r="F123">
        <f t="shared" si="80"/>
        <v>7</v>
      </c>
      <c r="G123">
        <f t="shared" si="81"/>
        <v>7</v>
      </c>
      <c r="H123" t="str">
        <f>IF(V123="","",IFERROR(VLOOKUP(TRIM($V123),KEY!$B$2:$F$72,3,FALSE),""))</f>
        <v>Southern California</v>
      </c>
      <c r="I123" t="str">
        <f t="shared" si="82"/>
        <v>WEST-46</v>
      </c>
      <c r="J123" t="str">
        <f t="shared" si="83"/>
        <v>Jan 2026-WEST-46</v>
      </c>
      <c r="K123">
        <f t="shared" si="84"/>
        <v>46</v>
      </c>
      <c r="L123">
        <f t="shared" si="85"/>
        <v>38.33</v>
      </c>
      <c r="M123">
        <f>IF(V123="","",IFERROR(VLOOKUP(TRIM($V123),KEY!$B$2:$F$72,5,FALSE),""))</f>
        <v>33</v>
      </c>
      <c r="N123">
        <f t="shared" si="86"/>
        <v>38</v>
      </c>
      <c r="O123" t="str">
        <f t="shared" si="87"/>
        <v>Lexus-5</v>
      </c>
      <c r="P123">
        <f t="shared" si="88"/>
        <v>5</v>
      </c>
      <c r="Q123">
        <f t="shared" si="89"/>
        <v>3.03</v>
      </c>
      <c r="R123">
        <f t="shared" si="90"/>
        <v>3</v>
      </c>
      <c r="S123">
        <f t="shared" si="91"/>
        <v>3</v>
      </c>
      <c r="T123" t="str">
        <f>IF(V123="","",IFERROR(VLOOKUP(TRIM($V123),KEY!$B$2:$F$72,2,FALSE),""))</f>
        <v>Lexus</v>
      </c>
      <c r="V123" s="78" t="s">
        <v>182</v>
      </c>
      <c r="W123" s="78">
        <v>7</v>
      </c>
      <c r="X123" s="78">
        <v>0</v>
      </c>
      <c r="Y123" s="78">
        <v>0</v>
      </c>
      <c r="Z123" s="78">
        <v>2</v>
      </c>
      <c r="AA123" s="78">
        <v>0</v>
      </c>
      <c r="AB123" s="78">
        <v>0</v>
      </c>
      <c r="AC123" s="78">
        <v>1</v>
      </c>
      <c r="AD123" s="78">
        <v>3</v>
      </c>
      <c r="AE123" s="78">
        <v>43</v>
      </c>
      <c r="AF123" s="78">
        <v>4</v>
      </c>
      <c r="AG123" s="78">
        <v>0</v>
      </c>
      <c r="AH123" s="78">
        <v>0</v>
      </c>
      <c r="AI123" s="78">
        <v>57</v>
      </c>
      <c r="AJ123" s="78">
        <v>0</v>
      </c>
      <c r="AK123" s="78">
        <v>0</v>
      </c>
      <c r="AL123" s="78">
        <v>0</v>
      </c>
      <c r="AM123" s="78">
        <v>0</v>
      </c>
    </row>
    <row r="124" spans="2:39" x14ac:dyDescent="0.35">
      <c r="B124" t="str">
        <f>IF(V124="","",H124&amp;"-"&amp;D124)</f>
        <v>Southern California-6</v>
      </c>
      <c r="C124" t="str">
        <f>IF(V124="","",$W$1&amp;"-"&amp;B124)</f>
        <v>Dec 2025-Southern California-6</v>
      </c>
      <c r="D124">
        <f>IF(V124="","",COUNTIFS($H$88:$H$158,H124,$E$88:$E$158,"&lt;"&amp;E124)+1)</f>
        <v>6</v>
      </c>
      <c r="E124">
        <f>IF(V124="","",G124+(F124/100))</f>
        <v>6.08</v>
      </c>
      <c r="F124">
        <f>IF(V124="","",COUNTIFS($H$88:$H$158,H124,$V$88:$V$158,"&lt;"&amp;V124)+1)</f>
        <v>8</v>
      </c>
      <c r="G124">
        <f>IF(V124="","",COUNTIFS($H$88:$H$158,H124,$Y$88:$Y$158,"&gt;"&amp;Y124)+1)</f>
        <v>6</v>
      </c>
      <c r="H124" t="str">
        <f>IF(V124="","",IFERROR(VLOOKUP(TRIM($V124),KEY!$B$2:$F$72,3,FALSE),""))</f>
        <v>Southern California</v>
      </c>
      <c r="I124" t="str">
        <f>IF(V124="","","WEST-"&amp;K124)</f>
        <v>WEST-32</v>
      </c>
      <c r="J124" t="str">
        <f>IF(V124="","",$X$1&amp;"-"&amp;I124)</f>
        <v>Jan 2026-WEST-32</v>
      </c>
      <c r="K124">
        <f>IFERROR(IF(V124="","",RANK(L124,$L$88:$L$158,1)),"-")</f>
        <v>32</v>
      </c>
      <c r="L124">
        <f>IFERROR(IF(V124="","",N124+(M124/100)),"-")</f>
        <v>32.35</v>
      </c>
      <c r="M124">
        <f>IF(V124="","",IFERROR(VLOOKUP(TRIM($V124),KEY!$B$2:$F$72,5,FALSE),""))</f>
        <v>35</v>
      </c>
      <c r="N124">
        <f>IFERROR(IF(V124="","",RANK(Y124,$Y$88:$Y$158)),"-")</f>
        <v>32</v>
      </c>
      <c r="O124" t="str">
        <f>IF(V124="","",T124&amp;"-"&amp;P124)</f>
        <v>Mazda-1</v>
      </c>
      <c r="P124">
        <f>IF(OR(V124="",Q124=""),"",COUNTIFS($T$4:$T$74,T124,$Q$4:$Q$74,"&lt;"&amp;Q124)+1)</f>
        <v>1</v>
      </c>
      <c r="Q124">
        <f>IF(OR(V124="",W124=0),"",S124+(R124/100))</f>
        <v>1.01</v>
      </c>
      <c r="R124">
        <f>IF(V124="","",COUNTIFS($T$88:$T$158,T124,$V$88:$V$158,"&lt;"&amp;V124)+1)</f>
        <v>1</v>
      </c>
      <c r="S124">
        <f>IF(V124="","",COUNTIFS($T$88:$T$158,T124,$Y$88:$Y$158,"&gt;"&amp;Y124)+1)</f>
        <v>1</v>
      </c>
      <c r="T124" t="str">
        <f>IF(V124="","",IFERROR(VLOOKUP(TRIM($V124),KEY!$B$2:$F$72,2,FALSE),""))</f>
        <v>Mazda</v>
      </c>
      <c r="V124" s="78" t="s">
        <v>184</v>
      </c>
      <c r="W124" s="78">
        <v>12</v>
      </c>
      <c r="X124" s="78">
        <v>1</v>
      </c>
      <c r="Y124" s="78">
        <v>8</v>
      </c>
      <c r="Z124" s="78">
        <v>0</v>
      </c>
      <c r="AA124" s="78">
        <v>1</v>
      </c>
      <c r="AB124" s="78">
        <v>0</v>
      </c>
      <c r="AC124" s="78">
        <v>0</v>
      </c>
      <c r="AD124" s="78">
        <v>1</v>
      </c>
      <c r="AE124" s="78">
        <v>8</v>
      </c>
      <c r="AF124" s="78">
        <v>0</v>
      </c>
      <c r="AG124" s="78">
        <v>0</v>
      </c>
      <c r="AH124" s="78">
        <v>11</v>
      </c>
      <c r="AI124" s="78">
        <v>92</v>
      </c>
      <c r="AJ124" s="78">
        <v>0</v>
      </c>
      <c r="AK124" s="78">
        <v>0</v>
      </c>
      <c r="AL124" s="78">
        <v>0</v>
      </c>
      <c r="AM124" s="78">
        <v>0</v>
      </c>
    </row>
    <row r="125" spans="2:39" x14ac:dyDescent="0.35">
      <c r="B125" t="str">
        <f>IF(V125="","",H125&amp;"-"&amp;D125)</f>
        <v>Southern California-4</v>
      </c>
      <c r="C125" t="str">
        <f>IF(V125="","",$W$1&amp;"-"&amp;B125)</f>
        <v>Dec 2025-Southern California-4</v>
      </c>
      <c r="D125">
        <f>IF(V125="","",COUNTIFS($H$88:$H$158,H125,$E$88:$E$158,"&lt;"&amp;E125)+1)</f>
        <v>4</v>
      </c>
      <c r="E125">
        <f>IF(V125="","",G125+(F125/100))</f>
        <v>4.04</v>
      </c>
      <c r="F125">
        <f>IF(V125="","",COUNTIFS($H$88:$H$158,H125,$V$88:$V$158,"&lt;"&amp;V125)+1)</f>
        <v>4</v>
      </c>
      <c r="G125">
        <f>IF(V125="","",COUNTIFS($H$88:$H$158,H125,$Y$88:$Y$158,"&gt;"&amp;Y125)+1)</f>
        <v>4</v>
      </c>
      <c r="H125" t="str">
        <f>IF(V125="","",IFERROR(VLOOKUP(TRIM($V125),KEY!$B$2:$F$72,3,FALSE),""))</f>
        <v>Southern California</v>
      </c>
      <c r="I125" t="str">
        <f>IF(V125="","","WEST-"&amp;K125)</f>
        <v>WEST-25</v>
      </c>
      <c r="J125" t="str">
        <f>IF(V125="","",$X$1&amp;"-"&amp;I125)</f>
        <v>Jan 2026-WEST-25</v>
      </c>
      <c r="K125">
        <f>IFERROR(IF(V125="","",RANK(L125,$L$88:$L$158,1)),"-")</f>
        <v>25</v>
      </c>
      <c r="L125">
        <f>IFERROR(IF(V125="","",N125+(M125/100)),"-")</f>
        <v>25.16</v>
      </c>
      <c r="M125">
        <f>IF(V125="","",IFERROR(VLOOKUP(TRIM($V125),KEY!$B$2:$F$72,5,FALSE),""))</f>
        <v>16</v>
      </c>
      <c r="N125">
        <f>IFERROR(IF(V125="","",RANK(Y125,$Y$88:$Y$158)),"-")</f>
        <v>25</v>
      </c>
      <c r="O125" t="str">
        <f>IF(V125="","",T125&amp;"-"&amp;P125)</f>
        <v>BMW-6</v>
      </c>
      <c r="P125">
        <f>IF(OR(V125="",Q125=""),"",COUNTIFS($T$4:$T$74,T125,$Q$4:$Q$74,"&lt;"&amp;Q125)+1)</f>
        <v>6</v>
      </c>
      <c r="Q125">
        <f>IF(OR(V125="",W125=0),"",S125+(R125/100))</f>
        <v>5.0599999999999996</v>
      </c>
      <c r="R125">
        <f>IF(V125="","",COUNTIFS($T$88:$T$158,T125,$V$88:$V$158,"&lt;"&amp;V125)+1)</f>
        <v>6</v>
      </c>
      <c r="S125">
        <f>IF(V125="","",COUNTIFS($T$88:$T$158,T125,$Y$88:$Y$158,"&gt;"&amp;Y125)+1)</f>
        <v>5</v>
      </c>
      <c r="T125" t="str">
        <f>IF(V125="","",IFERROR(VLOOKUP(TRIM($V125),KEY!$B$2:$F$72,2,FALSE),""))</f>
        <v>BMW</v>
      </c>
      <c r="V125" s="78" t="s">
        <v>186</v>
      </c>
      <c r="W125" s="78">
        <v>54</v>
      </c>
      <c r="X125" s="78">
        <v>9</v>
      </c>
      <c r="Y125" s="78">
        <v>17</v>
      </c>
      <c r="Z125" s="78">
        <v>1</v>
      </c>
      <c r="AA125" s="78">
        <v>9</v>
      </c>
      <c r="AB125" s="78">
        <v>0</v>
      </c>
      <c r="AC125" s="78">
        <v>1</v>
      </c>
      <c r="AD125" s="78">
        <v>11</v>
      </c>
      <c r="AE125" s="78">
        <v>20</v>
      </c>
      <c r="AF125" s="78">
        <v>1</v>
      </c>
      <c r="AG125" s="78">
        <v>0</v>
      </c>
      <c r="AH125" s="78">
        <v>40</v>
      </c>
      <c r="AI125" s="78">
        <v>76</v>
      </c>
      <c r="AJ125" s="78">
        <v>2</v>
      </c>
      <c r="AK125" s="78">
        <v>0</v>
      </c>
      <c r="AL125" s="78">
        <v>0</v>
      </c>
      <c r="AM125" s="78">
        <v>4</v>
      </c>
    </row>
    <row r="126" spans="2:39" x14ac:dyDescent="0.35">
      <c r="B126" t="str">
        <f t="shared" si="76"/>
        <v>Southern California-5</v>
      </c>
      <c r="C126" t="str">
        <f t="shared" si="77"/>
        <v>Dec 2025-Southern California-5</v>
      </c>
      <c r="D126">
        <f t="shared" si="78"/>
        <v>5</v>
      </c>
      <c r="E126">
        <f t="shared" si="79"/>
        <v>5.03</v>
      </c>
      <c r="F126">
        <f t="shared" si="80"/>
        <v>3</v>
      </c>
      <c r="G126">
        <f t="shared" si="81"/>
        <v>5</v>
      </c>
      <c r="H126" t="str">
        <f>IF(V126="","",IFERROR(VLOOKUP(TRIM($V126),KEY!$B$2:$F$72,3,FALSE),""))</f>
        <v>Southern California</v>
      </c>
      <c r="I126" t="str">
        <f t="shared" si="82"/>
        <v>WEST-31</v>
      </c>
      <c r="J126" t="str">
        <f t="shared" si="83"/>
        <v>Jan 2026-WEST-31</v>
      </c>
      <c r="K126">
        <f t="shared" si="84"/>
        <v>31</v>
      </c>
      <c r="L126">
        <f t="shared" si="85"/>
        <v>31.14</v>
      </c>
      <c r="M126">
        <f>IF(V126="","",IFERROR(VLOOKUP(TRIM($V126),KEY!$B$2:$F$72,5,FALSE),""))</f>
        <v>14</v>
      </c>
      <c r="N126">
        <f t="shared" si="86"/>
        <v>31</v>
      </c>
      <c r="O126" t="str">
        <f t="shared" si="87"/>
        <v>BMW-8</v>
      </c>
      <c r="P126">
        <f t="shared" si="88"/>
        <v>8</v>
      </c>
      <c r="Q126">
        <f t="shared" si="89"/>
        <v>7.04</v>
      </c>
      <c r="R126">
        <f t="shared" si="90"/>
        <v>4</v>
      </c>
      <c r="S126">
        <f t="shared" si="91"/>
        <v>7</v>
      </c>
      <c r="T126" t="str">
        <f>IF(V126="","",IFERROR(VLOOKUP(TRIM($V126),KEY!$B$2:$F$72,2,FALSE),""))</f>
        <v>BMW</v>
      </c>
      <c r="V126" s="78" t="s">
        <v>185</v>
      </c>
      <c r="W126" s="78">
        <v>11</v>
      </c>
      <c r="X126" s="78">
        <v>1</v>
      </c>
      <c r="Y126" s="78">
        <v>9</v>
      </c>
      <c r="Z126" s="78">
        <v>0</v>
      </c>
      <c r="AA126" s="78">
        <v>1</v>
      </c>
      <c r="AB126" s="78">
        <v>0</v>
      </c>
      <c r="AC126" s="78">
        <v>2</v>
      </c>
      <c r="AD126" s="78">
        <v>3</v>
      </c>
      <c r="AE126" s="78">
        <v>27</v>
      </c>
      <c r="AF126" s="78">
        <v>3</v>
      </c>
      <c r="AG126" s="78">
        <v>0</v>
      </c>
      <c r="AH126" s="78">
        <v>0</v>
      </c>
      <c r="AI126" s="78">
        <v>27</v>
      </c>
      <c r="AJ126" s="78">
        <v>1</v>
      </c>
      <c r="AK126" s="78">
        <v>4</v>
      </c>
      <c r="AL126" s="78">
        <v>0</v>
      </c>
      <c r="AM126" s="78">
        <v>45</v>
      </c>
    </row>
    <row r="127" spans="2:39" x14ac:dyDescent="0.35">
      <c r="B127" t="str">
        <f t="shared" si="76"/>
        <v>Southern California-3</v>
      </c>
      <c r="C127" t="str">
        <f t="shared" si="77"/>
        <v>Dec 2025-Southern California-3</v>
      </c>
      <c r="D127">
        <f t="shared" si="78"/>
        <v>3</v>
      </c>
      <c r="E127">
        <f t="shared" si="79"/>
        <v>3.09</v>
      </c>
      <c r="F127">
        <f t="shared" si="80"/>
        <v>9</v>
      </c>
      <c r="G127">
        <f t="shared" si="81"/>
        <v>3</v>
      </c>
      <c r="H127" t="str">
        <f>IF(V127="","",IFERROR(VLOOKUP(TRIM($V127),KEY!$B$2:$F$72,3,FALSE),""))</f>
        <v>Southern California</v>
      </c>
      <c r="I127" t="str">
        <f t="shared" si="82"/>
        <v>WEST-23</v>
      </c>
      <c r="J127" t="str">
        <f t="shared" si="83"/>
        <v>Jan 2026-WEST-23</v>
      </c>
      <c r="K127">
        <f t="shared" si="84"/>
        <v>23</v>
      </c>
      <c r="L127">
        <f t="shared" si="85"/>
        <v>23.38</v>
      </c>
      <c r="M127">
        <f>IF(V127="","",IFERROR(VLOOKUP(TRIM($V127),KEY!$B$2:$F$72,5,FALSE),""))</f>
        <v>38</v>
      </c>
      <c r="N127">
        <f t="shared" si="86"/>
        <v>23</v>
      </c>
      <c r="O127" t="str">
        <f t="shared" si="87"/>
        <v>Mercedes-Benz-4</v>
      </c>
      <c r="P127">
        <f t="shared" si="88"/>
        <v>4</v>
      </c>
      <c r="Q127">
        <f t="shared" si="89"/>
        <v>3.03</v>
      </c>
      <c r="R127">
        <f t="shared" si="90"/>
        <v>3</v>
      </c>
      <c r="S127">
        <f t="shared" si="91"/>
        <v>3</v>
      </c>
      <c r="T127" t="str">
        <f>IF(V127="","",IFERROR(VLOOKUP(TRIM($V127),KEY!$B$2:$F$72,2,FALSE),""))</f>
        <v>Mercedes-Benz</v>
      </c>
      <c r="V127" s="78" t="s">
        <v>187</v>
      </c>
      <c r="W127" s="78">
        <v>31</v>
      </c>
      <c r="X127" s="78">
        <v>6</v>
      </c>
      <c r="Y127" s="78">
        <v>19</v>
      </c>
      <c r="Z127" s="78">
        <v>2</v>
      </c>
      <c r="AA127" s="78">
        <v>6</v>
      </c>
      <c r="AB127" s="78">
        <v>0</v>
      </c>
      <c r="AC127" s="78">
        <v>1</v>
      </c>
      <c r="AD127" s="78">
        <v>9</v>
      </c>
      <c r="AE127" s="78">
        <v>29</v>
      </c>
      <c r="AF127" s="78">
        <v>4</v>
      </c>
      <c r="AG127" s="78">
        <v>0</v>
      </c>
      <c r="AH127" s="78">
        <v>5</v>
      </c>
      <c r="AI127" s="78">
        <v>29</v>
      </c>
      <c r="AJ127" s="78">
        <v>12</v>
      </c>
      <c r="AK127" s="78">
        <v>1</v>
      </c>
      <c r="AL127" s="78">
        <v>0</v>
      </c>
      <c r="AM127" s="78">
        <v>42</v>
      </c>
    </row>
    <row r="128" spans="2:39" x14ac:dyDescent="0.35">
      <c r="B128" t="str">
        <f t="shared" si="76"/>
        <v>Southern California-1</v>
      </c>
      <c r="C128" t="str">
        <f t="shared" si="77"/>
        <v>Dec 2025-Southern California-1</v>
      </c>
      <c r="D128">
        <f t="shared" si="78"/>
        <v>1</v>
      </c>
      <c r="E128">
        <f t="shared" si="79"/>
        <v>1.06</v>
      </c>
      <c r="F128">
        <f t="shared" si="80"/>
        <v>6</v>
      </c>
      <c r="G128">
        <f t="shared" si="81"/>
        <v>1</v>
      </c>
      <c r="H128" t="str">
        <f>IF(V128="","",IFERROR(VLOOKUP(TRIM($V128),KEY!$B$2:$F$72,3,FALSE),""))</f>
        <v>Southern California</v>
      </c>
      <c r="I128" t="str">
        <f t="shared" si="82"/>
        <v>WEST-14</v>
      </c>
      <c r="J128" t="str">
        <f t="shared" si="83"/>
        <v>Jan 2026-WEST-14</v>
      </c>
      <c r="K128">
        <f t="shared" si="84"/>
        <v>14</v>
      </c>
      <c r="L128">
        <f t="shared" si="85"/>
        <v>13.26</v>
      </c>
      <c r="M128">
        <f>IF(V128="","",IFERROR(VLOOKUP(TRIM($V128),KEY!$B$2:$F$72,5,FALSE),""))</f>
        <v>26</v>
      </c>
      <c r="N128">
        <f t="shared" si="86"/>
        <v>13</v>
      </c>
      <c r="O128" t="str">
        <f t="shared" si="87"/>
        <v>Toyota-1</v>
      </c>
      <c r="P128">
        <f t="shared" si="88"/>
        <v>1</v>
      </c>
      <c r="Q128">
        <f t="shared" si="89"/>
        <v>1.02</v>
      </c>
      <c r="R128">
        <f t="shared" si="90"/>
        <v>2</v>
      </c>
      <c r="S128">
        <f t="shared" si="91"/>
        <v>1</v>
      </c>
      <c r="T128" t="str">
        <f>IF(V128="","",IFERROR(VLOOKUP(TRIM($V128),KEY!$B$2:$F$72,2,FALSE),""))</f>
        <v>Toyota</v>
      </c>
      <c r="V128" s="78" t="s">
        <v>183</v>
      </c>
      <c r="W128" s="78">
        <v>3</v>
      </c>
      <c r="X128" s="78">
        <v>1</v>
      </c>
      <c r="Y128" s="78">
        <v>33</v>
      </c>
      <c r="Z128" s="78">
        <v>0</v>
      </c>
      <c r="AA128" s="78">
        <v>1</v>
      </c>
      <c r="AB128" s="78">
        <v>0</v>
      </c>
      <c r="AC128" s="78">
        <v>0</v>
      </c>
      <c r="AD128" s="78">
        <v>1</v>
      </c>
      <c r="AE128" s="78">
        <v>33</v>
      </c>
      <c r="AF128" s="78">
        <v>2</v>
      </c>
      <c r="AG128" s="78">
        <v>0</v>
      </c>
      <c r="AH128" s="78">
        <v>0</v>
      </c>
      <c r="AI128" s="78">
        <v>67</v>
      </c>
      <c r="AJ128" s="78">
        <v>0</v>
      </c>
      <c r="AK128" s="78">
        <v>0</v>
      </c>
      <c r="AL128" s="78">
        <v>0</v>
      </c>
      <c r="AM128" s="78">
        <v>0</v>
      </c>
    </row>
    <row r="129" spans="2:39" x14ac:dyDescent="0.35">
      <c r="B129" t="str">
        <f t="shared" ref="B129:B158" si="92">IF(V129="","",H129&amp;"-"&amp;D129)</f>
        <v>Southern California-8</v>
      </c>
      <c r="C129" t="str">
        <f t="shared" ref="C129:C158" si="93">IF(V129="","",$W$1&amp;"-"&amp;B129)</f>
        <v>Dec 2025-Southern California-8</v>
      </c>
      <c r="D129">
        <f t="shared" ref="D129:D158" si="94">IF(V129="","",COUNTIFS($H$88:$H$158,H129,$E$88:$E$158,"&lt;"&amp;E129)+1)</f>
        <v>8</v>
      </c>
      <c r="E129">
        <f t="shared" ref="E129:E158" si="95">IF(V129="","",G129+(F129/100))</f>
        <v>7.02</v>
      </c>
      <c r="F129">
        <f t="shared" ref="F129:F158" si="96">IF(V129="","",COUNTIFS($H$88:$H$158,H129,$V$88:$V$158,"&lt;"&amp;V129)+1)</f>
        <v>2</v>
      </c>
      <c r="G129">
        <f t="shared" ref="G129:G158" si="97">IF(V129="","",COUNTIFS($H$88:$H$158,H129,$Y$88:$Y$158,"&gt;"&amp;Y129)+1)</f>
        <v>7</v>
      </c>
      <c r="H129" t="str">
        <f>IF(V129="","",IFERROR(VLOOKUP(TRIM($V129),KEY!$B$2:$F$72,3,FALSE),""))</f>
        <v>Southern California</v>
      </c>
      <c r="I129" t="str">
        <f t="shared" ref="I129:I158" si="98">IF(V129="","","WEST-"&amp;K129)</f>
        <v>WEST-39</v>
      </c>
      <c r="J129" t="str">
        <f t="shared" ref="J129:J158" si="99">IF(V129="","",$X$1&amp;"-"&amp;I129)</f>
        <v>Jan 2026-WEST-39</v>
      </c>
      <c r="K129">
        <f t="shared" ref="K129:K158" si="100">IFERROR(IF(V129="","",RANK(L129,$L$88:$L$158,1)),"-")</f>
        <v>39</v>
      </c>
      <c r="L129">
        <f t="shared" ref="L129:L158" si="101">IFERROR(IF(V129="","",N129+(M129/100)),"-")</f>
        <v>38.04</v>
      </c>
      <c r="M129">
        <f>IF(V129="","",IFERROR(VLOOKUP(TRIM($V129),KEY!$B$2:$F$72,5,FALSE),""))</f>
        <v>4</v>
      </c>
      <c r="N129">
        <f t="shared" ref="N129:N158" si="102">IFERROR(IF(V129="","",RANK(Y129,$Y$88:$Y$158)),"-")</f>
        <v>38</v>
      </c>
      <c r="O129" t="str">
        <f t="shared" ref="O129:O158" si="103">IF(V129="","",T129&amp;"-"&amp;P129)</f>
        <v>Audi-5</v>
      </c>
      <c r="P129">
        <f t="shared" ref="P129:P158" si="104">IF(OR(V129="",Q129=""),"",COUNTIFS($T$4:$T$74,T129,$Q$4:$Q$74,"&lt;"&amp;Q129)+1)</f>
        <v>5</v>
      </c>
      <c r="Q129">
        <f t="shared" ref="Q129:Q158" si="105">IF(OR(V129="",W129=0),"",S129+(R129/100))</f>
        <v>5.0199999999999996</v>
      </c>
      <c r="R129">
        <f t="shared" ref="R129:R158" si="106">IF(V129="","",COUNTIFS($T$88:$T$158,T129,$V$88:$V$158,"&lt;"&amp;V129)+1)</f>
        <v>2</v>
      </c>
      <c r="S129">
        <f t="shared" ref="S129:S158" si="107">IF(V129="","",COUNTIFS($T$88:$T$158,T129,$Y$88:$Y$158,"&gt;"&amp;Y129)+1)</f>
        <v>5</v>
      </c>
      <c r="T129" t="str">
        <f>IF(V129="","",IFERROR(VLOOKUP(TRIM($V129),KEY!$B$2:$F$72,2,FALSE),""))</f>
        <v>Audi</v>
      </c>
      <c r="V129" s="78" t="s">
        <v>188</v>
      </c>
      <c r="W129" s="78">
        <v>10</v>
      </c>
      <c r="X129" s="78">
        <v>0</v>
      </c>
      <c r="Y129" s="78">
        <v>0</v>
      </c>
      <c r="Z129" s="78">
        <v>0</v>
      </c>
      <c r="AA129" s="78">
        <v>0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  <c r="AH129" s="78">
        <v>10</v>
      </c>
      <c r="AI129" s="78">
        <v>100</v>
      </c>
      <c r="AJ129" s="78">
        <v>0</v>
      </c>
      <c r="AK129" s="78">
        <v>0</v>
      </c>
      <c r="AL129" s="78">
        <v>0</v>
      </c>
      <c r="AM129" s="78">
        <v>0</v>
      </c>
    </row>
    <row r="130" spans="2:39" x14ac:dyDescent="0.35">
      <c r="B130" t="str">
        <f t="shared" si="92"/>
        <v>Southern California-10</v>
      </c>
      <c r="C130" t="str">
        <f t="shared" si="93"/>
        <v>Dec 2025-Southern California-10</v>
      </c>
      <c r="D130">
        <f t="shared" si="94"/>
        <v>10</v>
      </c>
      <c r="E130">
        <f t="shared" si="95"/>
        <v>7.1</v>
      </c>
      <c r="F130">
        <f t="shared" si="96"/>
        <v>10</v>
      </c>
      <c r="G130">
        <f t="shared" si="97"/>
        <v>7</v>
      </c>
      <c r="H130" t="str">
        <f>IF(V130="","",IFERROR(VLOOKUP(TRIM($V130),KEY!$B$2:$F$72,3,FALSE),""))</f>
        <v>Southern California</v>
      </c>
      <c r="I130" t="str">
        <f t="shared" si="98"/>
        <v>WEST-47</v>
      </c>
      <c r="J130" t="str">
        <f t="shared" si="99"/>
        <v>Jan 2026-WEST-47</v>
      </c>
      <c r="K130">
        <f t="shared" si="100"/>
        <v>47</v>
      </c>
      <c r="L130">
        <f t="shared" si="101"/>
        <v>38.43</v>
      </c>
      <c r="M130">
        <f>IF(V130="","",IFERROR(VLOOKUP(TRIM($V130),KEY!$B$2:$F$72,5,FALSE),""))</f>
        <v>43</v>
      </c>
      <c r="N130">
        <f t="shared" si="102"/>
        <v>38</v>
      </c>
      <c r="O130" t="str">
        <f t="shared" si="103"/>
        <v>MINI-6</v>
      </c>
      <c r="P130">
        <f t="shared" si="104"/>
        <v>6</v>
      </c>
      <c r="Q130">
        <f t="shared" si="105"/>
        <v>5.05</v>
      </c>
      <c r="R130">
        <f t="shared" si="106"/>
        <v>5</v>
      </c>
      <c r="S130">
        <f t="shared" si="107"/>
        <v>5</v>
      </c>
      <c r="T130" t="str">
        <f>IF(V130="","",IFERROR(VLOOKUP(TRIM($V130),KEY!$B$2:$F$72,2,FALSE),""))</f>
        <v>MINI</v>
      </c>
      <c r="V130" s="78" t="s">
        <v>189</v>
      </c>
      <c r="W130" s="78">
        <v>4</v>
      </c>
      <c r="X130" s="78">
        <v>0</v>
      </c>
      <c r="Y130" s="78">
        <v>0</v>
      </c>
      <c r="Z130" s="78">
        <v>0</v>
      </c>
      <c r="AA130" s="78">
        <v>0</v>
      </c>
      <c r="AB130" s="78">
        <v>0</v>
      </c>
      <c r="AC130" s="78">
        <v>1</v>
      </c>
      <c r="AD130" s="78">
        <v>1</v>
      </c>
      <c r="AE130" s="78">
        <v>25</v>
      </c>
      <c r="AF130" s="78">
        <v>2</v>
      </c>
      <c r="AG130" s="78">
        <v>0</v>
      </c>
      <c r="AH130" s="78">
        <v>0</v>
      </c>
      <c r="AI130" s="78">
        <v>50</v>
      </c>
      <c r="AJ130" s="78">
        <v>1</v>
      </c>
      <c r="AK130" s="78">
        <v>0</v>
      </c>
      <c r="AL130" s="78">
        <v>0</v>
      </c>
      <c r="AM130" s="78">
        <v>25</v>
      </c>
    </row>
    <row r="131" spans="2:39" x14ac:dyDescent="0.35">
      <c r="B131" t="str">
        <f t="shared" si="92"/>
        <v>Texas-2</v>
      </c>
      <c r="C131" t="str">
        <f t="shared" si="93"/>
        <v>Dec 2025-Texas-2</v>
      </c>
      <c r="D131">
        <f t="shared" si="94"/>
        <v>2</v>
      </c>
      <c r="E131">
        <f t="shared" si="95"/>
        <v>2.0299999999999998</v>
      </c>
      <c r="F131">
        <f t="shared" si="96"/>
        <v>3</v>
      </c>
      <c r="G131">
        <f t="shared" si="97"/>
        <v>2</v>
      </c>
      <c r="H131" t="str">
        <f>IF(V131="","",IFERROR(VLOOKUP(TRIM($V131),KEY!$B$2:$F$72,3,FALSE),""))</f>
        <v>Texas</v>
      </c>
      <c r="I131" t="str">
        <f t="shared" si="98"/>
        <v>WEST-6</v>
      </c>
      <c r="J131" t="str">
        <f t="shared" si="99"/>
        <v>Jan 2026-WEST-6</v>
      </c>
      <c r="K131">
        <f t="shared" si="100"/>
        <v>6</v>
      </c>
      <c r="L131">
        <f t="shared" si="101"/>
        <v>6.23</v>
      </c>
      <c r="M131">
        <f>IF(V131="","",IFERROR(VLOOKUP(TRIM($V131),KEY!$B$2:$F$72,5,FALSE),""))</f>
        <v>23</v>
      </c>
      <c r="N131">
        <f t="shared" si="102"/>
        <v>6</v>
      </c>
      <c r="O131" t="str">
        <f t="shared" si="103"/>
        <v>Honda-1</v>
      </c>
      <c r="P131">
        <f t="shared" si="104"/>
        <v>1</v>
      </c>
      <c r="Q131">
        <f t="shared" si="105"/>
        <v>1.02</v>
      </c>
      <c r="R131">
        <f t="shared" si="106"/>
        <v>2</v>
      </c>
      <c r="S131">
        <f t="shared" si="107"/>
        <v>1</v>
      </c>
      <c r="T131" t="str">
        <f>IF(V131="","",IFERROR(VLOOKUP(TRIM($V131),KEY!$B$2:$F$72,2,FALSE),""))</f>
        <v>Honda</v>
      </c>
      <c r="V131" s="78" t="s">
        <v>191</v>
      </c>
      <c r="W131" s="78">
        <v>14</v>
      </c>
      <c r="X131" s="78">
        <v>6</v>
      </c>
      <c r="Y131" s="78">
        <v>43</v>
      </c>
      <c r="Z131" s="78">
        <v>1</v>
      </c>
      <c r="AA131" s="78">
        <v>6</v>
      </c>
      <c r="AB131" s="78">
        <v>0</v>
      </c>
      <c r="AC131" s="78">
        <v>1</v>
      </c>
      <c r="AD131" s="78">
        <v>8</v>
      </c>
      <c r="AE131" s="78">
        <v>57</v>
      </c>
      <c r="AF131" s="78">
        <v>0</v>
      </c>
      <c r="AG131" s="78">
        <v>0</v>
      </c>
      <c r="AH131" s="78">
        <v>2</v>
      </c>
      <c r="AI131" s="78">
        <v>14</v>
      </c>
      <c r="AJ131" s="78">
        <v>1</v>
      </c>
      <c r="AK131" s="78">
        <v>3</v>
      </c>
      <c r="AL131" s="78">
        <v>0</v>
      </c>
      <c r="AM131" s="78">
        <v>29</v>
      </c>
    </row>
    <row r="132" spans="2:39" x14ac:dyDescent="0.35">
      <c r="B132" t="str">
        <f t="shared" si="92"/>
        <v>Texas-7</v>
      </c>
      <c r="C132" t="str">
        <f t="shared" si="93"/>
        <v>Dec 2025-Texas-7</v>
      </c>
      <c r="D132">
        <f t="shared" si="94"/>
        <v>7</v>
      </c>
      <c r="E132">
        <f t="shared" si="95"/>
        <v>7.07</v>
      </c>
      <c r="F132">
        <f t="shared" si="96"/>
        <v>7</v>
      </c>
      <c r="G132">
        <f t="shared" si="97"/>
        <v>7</v>
      </c>
      <c r="H132" t="str">
        <f>IF(V132="","",IFERROR(VLOOKUP(TRIM($V132),KEY!$B$2:$F$72,3,FALSE),""))</f>
        <v>Texas</v>
      </c>
      <c r="I132" t="str">
        <f t="shared" si="98"/>
        <v>WEST-33</v>
      </c>
      <c r="J132" t="str">
        <f t="shared" si="99"/>
        <v>Jan 2026-WEST-33</v>
      </c>
      <c r="K132">
        <f t="shared" si="100"/>
        <v>33</v>
      </c>
      <c r="L132">
        <f t="shared" si="101"/>
        <v>32.520000000000003</v>
      </c>
      <c r="M132">
        <f>IF(V132="","",IFERROR(VLOOKUP(TRIM($V132),KEY!$B$2:$F$72,5,FALSE),""))</f>
        <v>52</v>
      </c>
      <c r="N132">
        <f t="shared" si="102"/>
        <v>32</v>
      </c>
      <c r="O132" t="str">
        <f t="shared" si="103"/>
        <v>Honda-5</v>
      </c>
      <c r="P132">
        <f t="shared" si="104"/>
        <v>5</v>
      </c>
      <c r="Q132">
        <f t="shared" si="105"/>
        <v>4.0599999999999996</v>
      </c>
      <c r="R132">
        <f t="shared" si="106"/>
        <v>6</v>
      </c>
      <c r="S132">
        <f t="shared" si="107"/>
        <v>4</v>
      </c>
      <c r="T132" t="str">
        <f>IF(V132="","",IFERROR(VLOOKUP(TRIM($V132),KEY!$B$2:$F$72,2,FALSE),""))</f>
        <v>Honda</v>
      </c>
      <c r="V132" s="78" t="s">
        <v>190</v>
      </c>
      <c r="W132" s="78">
        <v>26</v>
      </c>
      <c r="X132" s="78">
        <v>2</v>
      </c>
      <c r="Y132" s="78">
        <v>8</v>
      </c>
      <c r="Z132" s="78">
        <v>1</v>
      </c>
      <c r="AA132" s="78">
        <v>2</v>
      </c>
      <c r="AB132" s="78">
        <v>0</v>
      </c>
      <c r="AC132" s="78">
        <v>2</v>
      </c>
      <c r="AD132" s="78">
        <v>5</v>
      </c>
      <c r="AE132" s="78">
        <v>19</v>
      </c>
      <c r="AF132" s="78">
        <v>0</v>
      </c>
      <c r="AG132" s="78">
        <v>0</v>
      </c>
      <c r="AH132" s="78">
        <v>21</v>
      </c>
      <c r="AI132" s="78">
        <v>81</v>
      </c>
      <c r="AJ132" s="78">
        <v>0</v>
      </c>
      <c r="AK132" s="78">
        <v>0</v>
      </c>
      <c r="AL132" s="78">
        <v>0</v>
      </c>
      <c r="AM132" s="78">
        <v>0</v>
      </c>
    </row>
    <row r="133" spans="2:39" x14ac:dyDescent="0.35">
      <c r="B133" t="str">
        <f t="shared" si="92"/>
        <v>Texas-3</v>
      </c>
      <c r="C133" t="str">
        <f t="shared" si="93"/>
        <v>Dec 2025-Texas-3</v>
      </c>
      <c r="D133">
        <f t="shared" si="94"/>
        <v>3</v>
      </c>
      <c r="E133">
        <f t="shared" si="95"/>
        <v>3.05</v>
      </c>
      <c r="F133">
        <f t="shared" si="96"/>
        <v>5</v>
      </c>
      <c r="G133">
        <f t="shared" si="97"/>
        <v>3</v>
      </c>
      <c r="H133" t="str">
        <f>IF(V133="","",IFERROR(VLOOKUP(TRIM($V133),KEY!$B$2:$F$72,3,FALSE),""))</f>
        <v>Texas</v>
      </c>
      <c r="I133" t="str">
        <f t="shared" si="98"/>
        <v>WEST-7</v>
      </c>
      <c r="J133" t="str">
        <f t="shared" si="99"/>
        <v>Jan 2026-WEST-7</v>
      </c>
      <c r="K133">
        <f t="shared" si="100"/>
        <v>7</v>
      </c>
      <c r="L133">
        <f t="shared" si="101"/>
        <v>7.32</v>
      </c>
      <c r="M133">
        <f>IF(V133="","",IFERROR(VLOOKUP(TRIM($V133),KEY!$B$2:$F$72,5,FALSE),""))</f>
        <v>32</v>
      </c>
      <c r="N133">
        <f t="shared" si="102"/>
        <v>7</v>
      </c>
      <c r="O133" t="str">
        <f t="shared" si="103"/>
        <v>Lexus-3</v>
      </c>
      <c r="P133">
        <f t="shared" si="104"/>
        <v>3</v>
      </c>
      <c r="Q133">
        <f t="shared" si="105"/>
        <v>2.02</v>
      </c>
      <c r="R133">
        <f t="shared" si="106"/>
        <v>2</v>
      </c>
      <c r="S133">
        <f t="shared" si="107"/>
        <v>2</v>
      </c>
      <c r="T133" t="str">
        <f>IF(V133="","",IFERROR(VLOOKUP(TRIM($V133),KEY!$B$2:$F$72,2,FALSE),""))</f>
        <v>Lexus</v>
      </c>
      <c r="V133" s="78" t="s">
        <v>193</v>
      </c>
      <c r="W133" s="78">
        <v>5</v>
      </c>
      <c r="X133" s="78">
        <v>2</v>
      </c>
      <c r="Y133" s="78">
        <v>40</v>
      </c>
      <c r="Z133" s="78">
        <v>0</v>
      </c>
      <c r="AA133" s="78">
        <v>2</v>
      </c>
      <c r="AB133" s="78">
        <v>0</v>
      </c>
      <c r="AC133" s="78">
        <v>0</v>
      </c>
      <c r="AD133" s="78">
        <v>2</v>
      </c>
      <c r="AE133" s="78">
        <v>40</v>
      </c>
      <c r="AF133" s="78">
        <v>2</v>
      </c>
      <c r="AG133" s="78">
        <v>0</v>
      </c>
      <c r="AH133" s="78">
        <v>0</v>
      </c>
      <c r="AI133" s="78">
        <v>40</v>
      </c>
      <c r="AJ133" s="78">
        <v>0</v>
      </c>
      <c r="AK133" s="78">
        <v>1</v>
      </c>
      <c r="AL133" s="78">
        <v>0</v>
      </c>
      <c r="AM133" s="78">
        <v>20</v>
      </c>
    </row>
    <row r="134" spans="2:39" x14ac:dyDescent="0.35">
      <c r="B134" t="str">
        <f t="shared" si="92"/>
        <v>Texas-1</v>
      </c>
      <c r="C134" t="str">
        <f t="shared" si="93"/>
        <v>Dec 2025-Texas-1</v>
      </c>
      <c r="D134">
        <f t="shared" si="94"/>
        <v>1</v>
      </c>
      <c r="E134">
        <f t="shared" si="95"/>
        <v>1.04</v>
      </c>
      <c r="F134">
        <f t="shared" si="96"/>
        <v>4</v>
      </c>
      <c r="G134">
        <f t="shared" si="97"/>
        <v>1</v>
      </c>
      <c r="H134" t="str">
        <f>IF(V134="","",IFERROR(VLOOKUP(TRIM($V134),KEY!$B$2:$F$72,3,FALSE),""))</f>
        <v>Texas</v>
      </c>
      <c r="I134" t="str">
        <f t="shared" si="98"/>
        <v>WEST-3</v>
      </c>
      <c r="J134" t="str">
        <f t="shared" si="99"/>
        <v>Jan 2026-WEST-3</v>
      </c>
      <c r="K134">
        <f t="shared" si="100"/>
        <v>3</v>
      </c>
      <c r="L134">
        <f t="shared" si="101"/>
        <v>3.3</v>
      </c>
      <c r="M134">
        <f>IF(V134="","",IFERROR(VLOOKUP(TRIM($V134),KEY!$B$2:$F$72,5,FALSE),""))</f>
        <v>30</v>
      </c>
      <c r="N134">
        <f t="shared" si="102"/>
        <v>3</v>
      </c>
      <c r="O134" t="str">
        <f t="shared" si="103"/>
        <v>Lexus-1</v>
      </c>
      <c r="P134">
        <f t="shared" si="104"/>
        <v>1</v>
      </c>
      <c r="Q134">
        <f t="shared" si="105"/>
        <v>1.01</v>
      </c>
      <c r="R134">
        <f t="shared" si="106"/>
        <v>1</v>
      </c>
      <c r="S134">
        <f t="shared" si="107"/>
        <v>1</v>
      </c>
      <c r="T134" t="str">
        <f>IF(V134="","",IFERROR(VLOOKUP(TRIM($V134),KEY!$B$2:$F$72,2,FALSE),""))</f>
        <v>Lexus</v>
      </c>
      <c r="V134" s="78" t="s">
        <v>192</v>
      </c>
      <c r="W134" s="78">
        <v>13</v>
      </c>
      <c r="X134" s="78">
        <v>7</v>
      </c>
      <c r="Y134" s="78">
        <v>54</v>
      </c>
      <c r="Z134" s="78">
        <v>0</v>
      </c>
      <c r="AA134" s="78">
        <v>7</v>
      </c>
      <c r="AB134" s="78">
        <v>0</v>
      </c>
      <c r="AC134" s="78">
        <v>4</v>
      </c>
      <c r="AD134" s="78">
        <v>11</v>
      </c>
      <c r="AE134" s="78">
        <v>85</v>
      </c>
      <c r="AF134" s="78">
        <v>0</v>
      </c>
      <c r="AG134" s="78">
        <v>0</v>
      </c>
      <c r="AH134" s="78">
        <v>0</v>
      </c>
      <c r="AI134" s="78">
        <v>0</v>
      </c>
      <c r="AJ134" s="78">
        <v>0</v>
      </c>
      <c r="AK134" s="78">
        <v>2</v>
      </c>
      <c r="AL134" s="78">
        <v>0</v>
      </c>
      <c r="AM134" s="78">
        <v>15</v>
      </c>
    </row>
    <row r="135" spans="2:39" x14ac:dyDescent="0.35">
      <c r="B135" t="str">
        <f t="shared" si="92"/>
        <v>Texas-4</v>
      </c>
      <c r="C135" t="str">
        <f t="shared" si="93"/>
        <v>Dec 2025-Texas-4</v>
      </c>
      <c r="D135">
        <f t="shared" si="94"/>
        <v>4</v>
      </c>
      <c r="E135">
        <f t="shared" si="95"/>
        <v>4.01</v>
      </c>
      <c r="F135">
        <f t="shared" si="96"/>
        <v>1</v>
      </c>
      <c r="G135">
        <f t="shared" si="97"/>
        <v>4</v>
      </c>
      <c r="H135" t="str">
        <f>IF(V135="","",IFERROR(VLOOKUP(TRIM($V135),KEY!$B$2:$F$72,3,FALSE),""))</f>
        <v>Texas</v>
      </c>
      <c r="I135" t="str">
        <f t="shared" si="98"/>
        <v>WEST-13</v>
      </c>
      <c r="J135" t="str">
        <f t="shared" si="99"/>
        <v>Jan 2026-WEST-13</v>
      </c>
      <c r="K135">
        <f t="shared" si="100"/>
        <v>13</v>
      </c>
      <c r="L135">
        <f t="shared" si="101"/>
        <v>13.12</v>
      </c>
      <c r="M135">
        <f>IF(V135="","",IFERROR(VLOOKUP(TRIM($V135),KEY!$B$2:$F$72,5,FALSE),""))</f>
        <v>12</v>
      </c>
      <c r="N135">
        <f t="shared" si="102"/>
        <v>13</v>
      </c>
      <c r="O135" t="str">
        <f t="shared" si="103"/>
        <v>BMW-3</v>
      </c>
      <c r="P135">
        <f t="shared" si="104"/>
        <v>3</v>
      </c>
      <c r="Q135">
        <f t="shared" si="105"/>
        <v>3.02</v>
      </c>
      <c r="R135">
        <f t="shared" si="106"/>
        <v>2</v>
      </c>
      <c r="S135">
        <f t="shared" si="107"/>
        <v>3</v>
      </c>
      <c r="T135" t="str">
        <f>IF(V135="","",IFERROR(VLOOKUP(TRIM($V135),KEY!$B$2:$F$72,2,FALSE),""))</f>
        <v>BMW</v>
      </c>
      <c r="V135" s="78" t="s">
        <v>194</v>
      </c>
      <c r="W135" s="78">
        <v>21</v>
      </c>
      <c r="X135" s="78">
        <v>7</v>
      </c>
      <c r="Y135" s="78">
        <v>33</v>
      </c>
      <c r="Z135" s="78">
        <v>1</v>
      </c>
      <c r="AA135" s="78">
        <v>7</v>
      </c>
      <c r="AB135" s="78">
        <v>0</v>
      </c>
      <c r="AC135" s="78">
        <v>0</v>
      </c>
      <c r="AD135" s="78">
        <v>8</v>
      </c>
      <c r="AE135" s="78">
        <v>38</v>
      </c>
      <c r="AF135" s="78">
        <v>10</v>
      </c>
      <c r="AG135" s="78">
        <v>0</v>
      </c>
      <c r="AH135" s="78">
        <v>2</v>
      </c>
      <c r="AI135" s="78">
        <v>57</v>
      </c>
      <c r="AJ135" s="78">
        <v>1</v>
      </c>
      <c r="AK135" s="78">
        <v>0</v>
      </c>
      <c r="AL135" s="78">
        <v>0</v>
      </c>
      <c r="AM135" s="78">
        <v>5</v>
      </c>
    </row>
    <row r="136" spans="2:39" x14ac:dyDescent="0.35">
      <c r="B136" t="str">
        <f t="shared" si="92"/>
        <v>Texas-8</v>
      </c>
      <c r="C136" t="str">
        <f t="shared" si="93"/>
        <v>Dec 2025-Texas-8</v>
      </c>
      <c r="D136">
        <f t="shared" si="94"/>
        <v>8</v>
      </c>
      <c r="E136">
        <f t="shared" si="95"/>
        <v>8.02</v>
      </c>
      <c r="F136">
        <f t="shared" si="96"/>
        <v>2</v>
      </c>
      <c r="G136">
        <f t="shared" si="97"/>
        <v>8</v>
      </c>
      <c r="H136" t="str">
        <f>IF(V136="","",IFERROR(VLOOKUP(TRIM($V136),KEY!$B$2:$F$72,3,FALSE),""))</f>
        <v>Texas</v>
      </c>
      <c r="I136" t="str">
        <f t="shared" si="98"/>
        <v>WEST-43</v>
      </c>
      <c r="J136" t="str">
        <f t="shared" si="99"/>
        <v>Jan 2026-WEST-43</v>
      </c>
      <c r="K136">
        <f t="shared" si="100"/>
        <v>43</v>
      </c>
      <c r="L136">
        <f t="shared" si="101"/>
        <v>38.22</v>
      </c>
      <c r="M136">
        <f>IF(V136="","",IFERROR(VLOOKUP(TRIM($V136),KEY!$B$2:$F$72,5,FALSE),""))</f>
        <v>22</v>
      </c>
      <c r="N136">
        <f t="shared" si="102"/>
        <v>38</v>
      </c>
      <c r="O136" t="str">
        <f t="shared" si="103"/>
        <v>Genesis-1</v>
      </c>
      <c r="P136">
        <f t="shared" si="104"/>
        <v>1</v>
      </c>
      <c r="Q136">
        <f t="shared" si="105"/>
        <v>1.01</v>
      </c>
      <c r="R136">
        <f t="shared" si="106"/>
        <v>1</v>
      </c>
      <c r="S136">
        <f t="shared" si="107"/>
        <v>1</v>
      </c>
      <c r="T136" t="str">
        <f>IF(V136="","",IFERROR(VLOOKUP(TRIM($V136),KEY!$B$2:$F$72,2,FALSE),""))</f>
        <v>Genesis</v>
      </c>
      <c r="V136" s="78" t="s">
        <v>213</v>
      </c>
      <c r="W136" s="78">
        <v>2</v>
      </c>
      <c r="X136" s="78">
        <v>0</v>
      </c>
      <c r="Y136" s="78">
        <v>0</v>
      </c>
      <c r="Z136" s="78">
        <v>0</v>
      </c>
      <c r="AA136" s="78">
        <v>0</v>
      </c>
      <c r="AB136" s="78">
        <v>0</v>
      </c>
      <c r="AC136" s="78">
        <v>0</v>
      </c>
      <c r="AD136" s="78">
        <v>0</v>
      </c>
      <c r="AE136" s="78">
        <v>0</v>
      </c>
      <c r="AF136" s="78">
        <v>0</v>
      </c>
      <c r="AG136" s="78">
        <v>0</v>
      </c>
      <c r="AH136" s="78">
        <v>2</v>
      </c>
      <c r="AI136" s="78">
        <v>100</v>
      </c>
      <c r="AJ136" s="78">
        <v>0</v>
      </c>
      <c r="AK136" s="78">
        <v>0</v>
      </c>
      <c r="AL136" s="78">
        <v>0</v>
      </c>
      <c r="AM136" s="78">
        <v>0</v>
      </c>
    </row>
    <row r="137" spans="2:39" x14ac:dyDescent="0.35">
      <c r="B137" t="str">
        <f t="shared" si="92"/>
        <v>Texas-6</v>
      </c>
      <c r="C137" t="str">
        <f t="shared" si="93"/>
        <v>Dec 2025-Texas-6</v>
      </c>
      <c r="D137">
        <f t="shared" si="94"/>
        <v>6</v>
      </c>
      <c r="E137">
        <f t="shared" si="95"/>
        <v>6.08</v>
      </c>
      <c r="F137">
        <f t="shared" si="96"/>
        <v>8</v>
      </c>
      <c r="G137">
        <f t="shared" si="97"/>
        <v>6</v>
      </c>
      <c r="H137" t="str">
        <f>IF(V137="","",IFERROR(VLOOKUP(TRIM($V137),KEY!$B$2:$F$72,3,FALSE),""))</f>
        <v>Texas</v>
      </c>
      <c r="I137" t="str">
        <f t="shared" si="98"/>
        <v>WEST-20</v>
      </c>
      <c r="J137" t="str">
        <f t="shared" si="99"/>
        <v>Jan 2026-WEST-20</v>
      </c>
      <c r="K137">
        <f t="shared" si="100"/>
        <v>20</v>
      </c>
      <c r="L137">
        <f t="shared" si="101"/>
        <v>17.53</v>
      </c>
      <c r="M137">
        <f>IF(V137="","",IFERROR(VLOOKUP(TRIM($V137),KEY!$B$2:$F$72,5,FALSE),""))</f>
        <v>53</v>
      </c>
      <c r="N137">
        <f t="shared" si="102"/>
        <v>17</v>
      </c>
      <c r="O137" t="str">
        <f t="shared" si="103"/>
        <v>Hyundai-1</v>
      </c>
      <c r="P137">
        <f t="shared" si="104"/>
        <v>1</v>
      </c>
      <c r="Q137">
        <f t="shared" si="105"/>
        <v>1.01</v>
      </c>
      <c r="R137">
        <f t="shared" si="106"/>
        <v>1</v>
      </c>
      <c r="S137">
        <f t="shared" si="107"/>
        <v>1</v>
      </c>
      <c r="T137" t="str">
        <f>IF(V137="","",IFERROR(VLOOKUP(TRIM($V137),KEY!$B$2:$F$72,2,FALSE),""))</f>
        <v>Hyundai</v>
      </c>
      <c r="V137" s="78" t="s">
        <v>196</v>
      </c>
      <c r="W137" s="78">
        <v>8</v>
      </c>
      <c r="X137" s="78">
        <v>2</v>
      </c>
      <c r="Y137" s="78">
        <v>25</v>
      </c>
      <c r="Z137" s="78">
        <v>0</v>
      </c>
      <c r="AA137" s="78">
        <v>2</v>
      </c>
      <c r="AB137" s="78">
        <v>0</v>
      </c>
      <c r="AC137" s="78">
        <v>0</v>
      </c>
      <c r="AD137" s="78">
        <v>2</v>
      </c>
      <c r="AE137" s="78">
        <v>25</v>
      </c>
      <c r="AF137" s="78">
        <v>3</v>
      </c>
      <c r="AG137" s="78">
        <v>0</v>
      </c>
      <c r="AH137" s="78">
        <v>0</v>
      </c>
      <c r="AI137" s="78">
        <v>38</v>
      </c>
      <c r="AJ137" s="78">
        <v>3</v>
      </c>
      <c r="AK137" s="78">
        <v>0</v>
      </c>
      <c r="AL137" s="78">
        <v>0</v>
      </c>
      <c r="AM137" s="78">
        <v>38</v>
      </c>
    </row>
    <row r="138" spans="2:39" x14ac:dyDescent="0.35">
      <c r="B138" t="str">
        <f t="shared" si="92"/>
        <v>Texas-5</v>
      </c>
      <c r="C138" t="str">
        <f t="shared" si="93"/>
        <v>Dec 2025-Texas-5</v>
      </c>
      <c r="D138">
        <f t="shared" si="94"/>
        <v>5</v>
      </c>
      <c r="E138">
        <f t="shared" si="95"/>
        <v>4.0599999999999996</v>
      </c>
      <c r="F138">
        <f t="shared" si="96"/>
        <v>6</v>
      </c>
      <c r="G138">
        <f t="shared" si="97"/>
        <v>4</v>
      </c>
      <c r="H138" t="str">
        <f>IF(V138="","",IFERROR(VLOOKUP(TRIM($V138),KEY!$B$2:$F$72,3,FALSE),""))</f>
        <v>Texas</v>
      </c>
      <c r="I138" t="str">
        <f t="shared" si="98"/>
        <v>WEST-16</v>
      </c>
      <c r="J138" t="str">
        <f t="shared" si="99"/>
        <v>Jan 2026-WEST-16</v>
      </c>
      <c r="K138">
        <f t="shared" si="100"/>
        <v>16</v>
      </c>
      <c r="L138">
        <f t="shared" si="101"/>
        <v>13.4</v>
      </c>
      <c r="M138">
        <f>IF(V138="","",IFERROR(VLOOKUP(TRIM($V138),KEY!$B$2:$F$72,5,FALSE),""))</f>
        <v>40</v>
      </c>
      <c r="N138">
        <f t="shared" si="102"/>
        <v>13</v>
      </c>
      <c r="O138" t="str">
        <f t="shared" si="103"/>
        <v>MINI-3</v>
      </c>
      <c r="P138">
        <f t="shared" si="104"/>
        <v>3</v>
      </c>
      <c r="Q138">
        <f t="shared" si="105"/>
        <v>2.0299999999999998</v>
      </c>
      <c r="R138">
        <f t="shared" si="106"/>
        <v>3</v>
      </c>
      <c r="S138">
        <f t="shared" si="107"/>
        <v>2</v>
      </c>
      <c r="T138" t="str">
        <f>IF(V138="","",IFERROR(VLOOKUP(TRIM($V138),KEY!$B$2:$F$72,2,FALSE),""))</f>
        <v>MINI</v>
      </c>
      <c r="V138" s="78" t="s">
        <v>197</v>
      </c>
      <c r="W138" s="78">
        <v>9</v>
      </c>
      <c r="X138" s="78">
        <v>3</v>
      </c>
      <c r="Y138" s="78">
        <v>33</v>
      </c>
      <c r="Z138" s="78">
        <v>0</v>
      </c>
      <c r="AA138" s="78">
        <v>3</v>
      </c>
      <c r="AB138" s="78">
        <v>0</v>
      </c>
      <c r="AC138" s="78">
        <v>0</v>
      </c>
      <c r="AD138" s="78">
        <v>3</v>
      </c>
      <c r="AE138" s="78">
        <v>33</v>
      </c>
      <c r="AF138" s="78">
        <v>4</v>
      </c>
      <c r="AG138" s="78">
        <v>0</v>
      </c>
      <c r="AH138" s="78">
        <v>0</v>
      </c>
      <c r="AI138" s="78">
        <v>44</v>
      </c>
      <c r="AJ138" s="78">
        <v>2</v>
      </c>
      <c r="AK138" s="78">
        <v>0</v>
      </c>
      <c r="AL138" s="78">
        <v>0</v>
      </c>
      <c r="AM138" s="78">
        <v>22</v>
      </c>
    </row>
    <row r="139" spans="2:39" x14ac:dyDescent="0.35">
      <c r="B139" t="str">
        <f t="shared" si="92"/>
        <v>Michigan &amp; Minnesota-1</v>
      </c>
      <c r="C139" t="str">
        <f t="shared" si="93"/>
        <v>Dec 2025-Michigan &amp; Minnesota-1</v>
      </c>
      <c r="D139">
        <f t="shared" si="94"/>
        <v>1</v>
      </c>
      <c r="E139">
        <f t="shared" si="95"/>
        <v>1.02</v>
      </c>
      <c r="F139">
        <f t="shared" si="96"/>
        <v>2</v>
      </c>
      <c r="G139">
        <f t="shared" si="97"/>
        <v>1</v>
      </c>
      <c r="H139" t="str">
        <f>IF(V139="","",IFERROR(VLOOKUP(TRIM($V139),KEY!$B$2:$F$72,3,FALSE),""))</f>
        <v>Michigan &amp; Minnesota</v>
      </c>
      <c r="I139" t="str">
        <f t="shared" si="98"/>
        <v>WEST-5</v>
      </c>
      <c r="J139" t="str">
        <f t="shared" si="99"/>
        <v>Jan 2026-WEST-5</v>
      </c>
      <c r="K139">
        <f t="shared" si="100"/>
        <v>5</v>
      </c>
      <c r="L139">
        <f t="shared" si="101"/>
        <v>5.45</v>
      </c>
      <c r="M139">
        <f>IF(V139="","",IFERROR(VLOOKUP(TRIM($V139),KEY!$B$2:$F$72,5,FALSE),""))</f>
        <v>45</v>
      </c>
      <c r="N139">
        <f t="shared" si="102"/>
        <v>5</v>
      </c>
      <c r="O139" t="str">
        <f t="shared" si="103"/>
        <v>BMW-1</v>
      </c>
      <c r="P139">
        <f t="shared" si="104"/>
        <v>1</v>
      </c>
      <c r="Q139">
        <f t="shared" si="105"/>
        <v>1.08</v>
      </c>
      <c r="R139">
        <f t="shared" si="106"/>
        <v>8</v>
      </c>
      <c r="S139">
        <f t="shared" si="107"/>
        <v>1</v>
      </c>
      <c r="T139" t="str">
        <f>IF(V139="","",IFERROR(VLOOKUP(TRIM($V139),KEY!$B$2:$F$72,2,FALSE),""))</f>
        <v>BMW</v>
      </c>
      <c r="V139" s="78" t="s">
        <v>199</v>
      </c>
      <c r="W139" s="78">
        <v>24</v>
      </c>
      <c r="X139" s="78">
        <v>11</v>
      </c>
      <c r="Y139" s="78">
        <v>46</v>
      </c>
      <c r="Z139" s="78">
        <v>0</v>
      </c>
      <c r="AA139" s="78">
        <v>11</v>
      </c>
      <c r="AB139" s="78">
        <v>1</v>
      </c>
      <c r="AC139" s="78">
        <v>0</v>
      </c>
      <c r="AD139" s="78">
        <v>12</v>
      </c>
      <c r="AE139" s="78">
        <v>50</v>
      </c>
      <c r="AF139" s="78">
        <v>3</v>
      </c>
      <c r="AG139" s="78">
        <v>0</v>
      </c>
      <c r="AH139" s="78">
        <v>4</v>
      </c>
      <c r="AI139" s="78">
        <v>29</v>
      </c>
      <c r="AJ139" s="78">
        <v>4</v>
      </c>
      <c r="AK139" s="78">
        <v>1</v>
      </c>
      <c r="AL139" s="78">
        <v>0</v>
      </c>
      <c r="AM139" s="78">
        <v>21</v>
      </c>
    </row>
    <row r="140" spans="2:39" x14ac:dyDescent="0.35">
      <c r="B140" t="str">
        <f t="shared" si="92"/>
        <v>Wisconsin-1</v>
      </c>
      <c r="C140" t="str">
        <f t="shared" si="93"/>
        <v>Dec 2025-Wisconsin-1</v>
      </c>
      <c r="D140">
        <f t="shared" si="94"/>
        <v>1</v>
      </c>
      <c r="E140">
        <f t="shared" si="95"/>
        <v>1.01</v>
      </c>
      <c r="F140">
        <f t="shared" si="96"/>
        <v>1</v>
      </c>
      <c r="G140">
        <f t="shared" si="97"/>
        <v>1</v>
      </c>
      <c r="H140" t="str">
        <f>IF(V140="","",IFERROR(VLOOKUP(TRIM($V140),KEY!$B$2:$F$72,3,FALSE),""))</f>
        <v>Wisconsin</v>
      </c>
      <c r="I140" t="str">
        <f t="shared" si="98"/>
        <v>WEST-22</v>
      </c>
      <c r="J140" t="str">
        <f t="shared" si="99"/>
        <v>Jan 2026-WEST-22</v>
      </c>
      <c r="K140">
        <f t="shared" si="100"/>
        <v>22</v>
      </c>
      <c r="L140">
        <f t="shared" si="101"/>
        <v>22.21</v>
      </c>
      <c r="M140">
        <f>IF(V140="","",IFERROR(VLOOKUP(TRIM($V140),KEY!$B$2:$F$72,5,FALSE),""))</f>
        <v>21</v>
      </c>
      <c r="N140">
        <f t="shared" si="102"/>
        <v>22</v>
      </c>
      <c r="O140" t="str">
        <f t="shared" si="103"/>
        <v>Toyota-2</v>
      </c>
      <c r="P140">
        <f t="shared" si="104"/>
        <v>2</v>
      </c>
      <c r="Q140">
        <f t="shared" si="105"/>
        <v>2.0099999999999998</v>
      </c>
      <c r="R140">
        <f t="shared" si="106"/>
        <v>1</v>
      </c>
      <c r="S140">
        <f t="shared" si="107"/>
        <v>2</v>
      </c>
      <c r="T140" t="str">
        <f>IF(V140="","",IFERROR(VLOOKUP(TRIM($V140),KEY!$B$2:$F$72,2,FALSE),""))</f>
        <v>Toyota</v>
      </c>
      <c r="V140" s="78" t="s">
        <v>198</v>
      </c>
      <c r="W140" s="78">
        <v>5</v>
      </c>
      <c r="X140" s="78">
        <v>1</v>
      </c>
      <c r="Y140" s="78">
        <v>20</v>
      </c>
      <c r="Z140" s="78">
        <v>0</v>
      </c>
      <c r="AA140" s="78">
        <v>1</v>
      </c>
      <c r="AB140" s="78">
        <v>0</v>
      </c>
      <c r="AC140" s="78">
        <v>0</v>
      </c>
      <c r="AD140" s="78">
        <v>1</v>
      </c>
      <c r="AE140" s="78">
        <v>20</v>
      </c>
      <c r="AF140" s="78">
        <v>3</v>
      </c>
      <c r="AG140" s="78">
        <v>0</v>
      </c>
      <c r="AH140" s="78">
        <v>0</v>
      </c>
      <c r="AI140" s="78">
        <v>60</v>
      </c>
      <c r="AJ140" s="78">
        <v>0</v>
      </c>
      <c r="AK140" s="78">
        <v>1</v>
      </c>
      <c r="AL140" s="78">
        <v>0</v>
      </c>
      <c r="AM140" s="78">
        <v>20</v>
      </c>
    </row>
    <row r="141" spans="2:39" x14ac:dyDescent="0.35">
      <c r="B141" t="str">
        <f t="shared" si="92"/>
        <v>Michigan &amp; Minnesota-3</v>
      </c>
      <c r="C141" t="str">
        <f t="shared" si="93"/>
        <v>Dec 2025-Michigan &amp; Minnesota-3</v>
      </c>
      <c r="D141">
        <f t="shared" si="94"/>
        <v>3</v>
      </c>
      <c r="E141">
        <f t="shared" si="95"/>
        <v>2.0299999999999998</v>
      </c>
      <c r="F141">
        <f t="shared" si="96"/>
        <v>3</v>
      </c>
      <c r="G141">
        <f t="shared" si="97"/>
        <v>2</v>
      </c>
      <c r="H141" t="str">
        <f>IF(V141="","",IFERROR(VLOOKUP(TRIM($V141),KEY!$B$2:$F$72,3,FALSE),""))</f>
        <v>Michigan &amp; Minnesota</v>
      </c>
      <c r="I141" t="str">
        <f t="shared" si="98"/>
        <v>WEST-49</v>
      </c>
      <c r="J141" t="str">
        <f t="shared" si="99"/>
        <v>Jan 2026-WEST-49</v>
      </c>
      <c r="K141">
        <f t="shared" si="100"/>
        <v>49</v>
      </c>
      <c r="L141">
        <f t="shared" si="101"/>
        <v>38.46</v>
      </c>
      <c r="M141">
        <f>IF(V141="","",IFERROR(VLOOKUP(TRIM($V141),KEY!$B$2:$F$72,5,FALSE),""))</f>
        <v>46</v>
      </c>
      <c r="N141">
        <f t="shared" si="102"/>
        <v>38</v>
      </c>
      <c r="O141" t="str">
        <f t="shared" si="103"/>
        <v>MINI-6</v>
      </c>
      <c r="P141">
        <f t="shared" si="104"/>
        <v>6</v>
      </c>
      <c r="Q141">
        <f t="shared" si="105"/>
        <v>5.07</v>
      </c>
      <c r="R141">
        <f t="shared" si="106"/>
        <v>7</v>
      </c>
      <c r="S141">
        <f t="shared" si="107"/>
        <v>5</v>
      </c>
      <c r="T141" t="str">
        <f>IF(V141="","",IFERROR(VLOOKUP(TRIM($V141),KEY!$B$2:$F$72,2,FALSE),""))</f>
        <v>MINI</v>
      </c>
      <c r="V141" s="78" t="s">
        <v>200</v>
      </c>
      <c r="W141" s="78">
        <v>6</v>
      </c>
      <c r="X141" s="78">
        <v>0</v>
      </c>
      <c r="Y141" s="78">
        <v>0</v>
      </c>
      <c r="Z141" s="78">
        <v>0</v>
      </c>
      <c r="AA141" s="78">
        <v>0</v>
      </c>
      <c r="AB141" s="78">
        <v>0</v>
      </c>
      <c r="AC141" s="78">
        <v>0</v>
      </c>
      <c r="AD141" s="78">
        <v>0</v>
      </c>
      <c r="AE141" s="78">
        <v>0</v>
      </c>
      <c r="AF141" s="78">
        <v>0</v>
      </c>
      <c r="AG141" s="78">
        <v>0</v>
      </c>
      <c r="AH141" s="78">
        <v>6</v>
      </c>
      <c r="AI141" s="78">
        <v>100</v>
      </c>
      <c r="AJ141" s="78">
        <v>0</v>
      </c>
      <c r="AK141" s="78">
        <v>0</v>
      </c>
      <c r="AL141" s="78">
        <v>0</v>
      </c>
      <c r="AM141" s="78">
        <v>0</v>
      </c>
    </row>
    <row r="142" spans="2:39" x14ac:dyDescent="0.35">
      <c r="B142" t="str">
        <f t="shared" si="92"/>
        <v>Michigan &amp; Minnesota-2</v>
      </c>
      <c r="C142" t="str">
        <f t="shared" si="93"/>
        <v>Dec 2025-Michigan &amp; Minnesota-2</v>
      </c>
      <c r="D142">
        <f t="shared" si="94"/>
        <v>2</v>
      </c>
      <c r="E142">
        <f t="shared" si="95"/>
        <v>2.0099999999999998</v>
      </c>
      <c r="F142">
        <f t="shared" si="96"/>
        <v>1</v>
      </c>
      <c r="G142">
        <f t="shared" si="97"/>
        <v>2</v>
      </c>
      <c r="H142" t="str">
        <f>IF(V142="","",IFERROR(VLOOKUP(TRIM($V142),KEY!$B$2:$F$72,3,FALSE),""))</f>
        <v>Michigan &amp; Minnesota</v>
      </c>
      <c r="I142" t="str">
        <f t="shared" si="98"/>
        <v>WEST-41</v>
      </c>
      <c r="J142" t="str">
        <f t="shared" si="99"/>
        <v>Jan 2026-WEST-41</v>
      </c>
      <c r="K142">
        <f t="shared" si="100"/>
        <v>41</v>
      </c>
      <c r="L142">
        <f t="shared" si="101"/>
        <v>38.130000000000003</v>
      </c>
      <c r="M142">
        <f>IF(V142="","",IFERROR(VLOOKUP(TRIM($V142),KEY!$B$2:$F$72,5,FALSE),""))</f>
        <v>13</v>
      </c>
      <c r="N142">
        <f t="shared" si="102"/>
        <v>38</v>
      </c>
      <c r="O142" t="str">
        <f t="shared" si="103"/>
        <v>BMW-9</v>
      </c>
      <c r="P142">
        <f t="shared" si="104"/>
        <v>9</v>
      </c>
      <c r="Q142">
        <f t="shared" si="105"/>
        <v>9.0299999999999994</v>
      </c>
      <c r="R142">
        <f t="shared" si="106"/>
        <v>3</v>
      </c>
      <c r="S142">
        <f t="shared" si="107"/>
        <v>9</v>
      </c>
      <c r="T142" t="str">
        <f>IF(V142="","",IFERROR(VLOOKUP(TRIM($V142),KEY!$B$2:$F$72,2,FALSE),""))</f>
        <v>BMW</v>
      </c>
      <c r="V142" s="78" t="s">
        <v>201</v>
      </c>
      <c r="W142" s="78">
        <v>28</v>
      </c>
      <c r="X142" s="78">
        <v>0</v>
      </c>
      <c r="Y142" s="78">
        <v>0</v>
      </c>
      <c r="Z142" s="78">
        <v>0</v>
      </c>
      <c r="AA142" s="78">
        <v>0</v>
      </c>
      <c r="AB142" s="78">
        <v>0</v>
      </c>
      <c r="AC142" s="78">
        <v>0</v>
      </c>
      <c r="AD142" s="78">
        <v>0</v>
      </c>
      <c r="AE142" s="78">
        <v>0</v>
      </c>
      <c r="AF142" s="78">
        <v>10</v>
      </c>
      <c r="AG142" s="78">
        <v>0</v>
      </c>
      <c r="AH142" s="78">
        <v>18</v>
      </c>
      <c r="AI142" s="78">
        <v>100</v>
      </c>
      <c r="AJ142" s="78">
        <v>0</v>
      </c>
      <c r="AK142" s="78">
        <v>0</v>
      </c>
      <c r="AL142" s="78">
        <v>0</v>
      </c>
      <c r="AM142" s="78">
        <v>0</v>
      </c>
    </row>
    <row r="143" spans="2:39" x14ac:dyDescent="0.35">
      <c r="B143" t="str">
        <f t="shared" si="92"/>
        <v/>
      </c>
      <c r="C143" t="str">
        <f t="shared" si="93"/>
        <v/>
      </c>
      <c r="D143" t="str">
        <f t="shared" si="94"/>
        <v/>
      </c>
      <c r="E143" t="str">
        <f t="shared" si="95"/>
        <v/>
      </c>
      <c r="F143" t="str">
        <f t="shared" si="96"/>
        <v/>
      </c>
      <c r="G143" t="str">
        <f t="shared" si="97"/>
        <v/>
      </c>
      <c r="H143" t="str">
        <f>IF(V143="","",IFERROR(VLOOKUP(TRIM($V143),KEY!$B$2:$F$72,3,FALSE),""))</f>
        <v/>
      </c>
      <c r="I143" t="str">
        <f t="shared" si="98"/>
        <v/>
      </c>
      <c r="J143" t="str">
        <f t="shared" si="99"/>
        <v/>
      </c>
      <c r="K143" t="str">
        <f t="shared" si="100"/>
        <v/>
      </c>
      <c r="L143" t="str">
        <f t="shared" si="101"/>
        <v/>
      </c>
      <c r="M143" t="str">
        <f>IF(V143="","",IFERROR(VLOOKUP(TRIM($V143),KEY!$B$2:$F$72,5,FALSE),""))</f>
        <v/>
      </c>
      <c r="N143" t="str">
        <f t="shared" si="102"/>
        <v/>
      </c>
      <c r="O143" t="str">
        <f t="shared" si="103"/>
        <v/>
      </c>
      <c r="P143" t="str">
        <f t="shared" si="104"/>
        <v/>
      </c>
      <c r="Q143" t="str">
        <f t="shared" si="105"/>
        <v/>
      </c>
      <c r="R143" t="str">
        <f t="shared" si="106"/>
        <v/>
      </c>
      <c r="S143" t="str">
        <f t="shared" si="107"/>
        <v/>
      </c>
      <c r="T143" t="str">
        <f>IF(V143="","",IFERROR(VLOOKUP(TRIM($V143),KEY!$B$2:$F$72,2,FALSE),""))</f>
        <v/>
      </c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</row>
    <row r="144" spans="2:39" x14ac:dyDescent="0.35">
      <c r="B144" t="str">
        <f t="shared" si="92"/>
        <v/>
      </c>
      <c r="C144" t="str">
        <f t="shared" si="93"/>
        <v/>
      </c>
      <c r="D144" t="str">
        <f t="shared" si="94"/>
        <v/>
      </c>
      <c r="E144" t="str">
        <f t="shared" si="95"/>
        <v/>
      </c>
      <c r="F144" t="str">
        <f t="shared" si="96"/>
        <v/>
      </c>
      <c r="G144" t="str">
        <f t="shared" si="97"/>
        <v/>
      </c>
      <c r="H144" t="str">
        <f>IF(V144="","",IFERROR(VLOOKUP(TRIM($V144),KEY!$B$2:$F$72,3,FALSE),""))</f>
        <v/>
      </c>
      <c r="I144" t="str">
        <f t="shared" si="98"/>
        <v/>
      </c>
      <c r="J144" t="str">
        <f t="shared" si="99"/>
        <v/>
      </c>
      <c r="K144" t="str">
        <f t="shared" si="100"/>
        <v/>
      </c>
      <c r="L144" t="str">
        <f t="shared" si="101"/>
        <v/>
      </c>
      <c r="M144" t="str">
        <f>IF(V144="","",IFERROR(VLOOKUP(TRIM($V144),KEY!$B$2:$F$72,5,FALSE),""))</f>
        <v/>
      </c>
      <c r="N144" t="str">
        <f t="shared" si="102"/>
        <v/>
      </c>
      <c r="O144" t="str">
        <f t="shared" si="103"/>
        <v/>
      </c>
      <c r="P144" t="str">
        <f t="shared" si="104"/>
        <v/>
      </c>
      <c r="Q144" t="str">
        <f t="shared" si="105"/>
        <v/>
      </c>
      <c r="R144" t="str">
        <f t="shared" si="106"/>
        <v/>
      </c>
      <c r="S144" t="str">
        <f t="shared" si="107"/>
        <v/>
      </c>
      <c r="T144" t="str">
        <f>IF(V144="","",IFERROR(VLOOKUP(TRIM($V144),KEY!$B$2:$F$72,2,FALSE),""))</f>
        <v/>
      </c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</row>
    <row r="145" spans="2:39" x14ac:dyDescent="0.35">
      <c r="B145" t="str">
        <f t="shared" si="92"/>
        <v/>
      </c>
      <c r="C145" t="str">
        <f t="shared" si="93"/>
        <v/>
      </c>
      <c r="D145" t="str">
        <f t="shared" si="94"/>
        <v/>
      </c>
      <c r="E145" t="str">
        <f t="shared" si="95"/>
        <v/>
      </c>
      <c r="F145" t="str">
        <f t="shared" si="96"/>
        <v/>
      </c>
      <c r="G145" t="str">
        <f t="shared" si="97"/>
        <v/>
      </c>
      <c r="H145" t="str">
        <f>IF(V145="","",IFERROR(VLOOKUP(TRIM($V145),KEY!$B$2:$F$72,3,FALSE),""))</f>
        <v/>
      </c>
      <c r="I145" t="str">
        <f t="shared" si="98"/>
        <v/>
      </c>
      <c r="J145" t="str">
        <f t="shared" si="99"/>
        <v/>
      </c>
      <c r="K145" t="str">
        <f t="shared" si="100"/>
        <v/>
      </c>
      <c r="L145" t="str">
        <f t="shared" si="101"/>
        <v/>
      </c>
      <c r="M145" t="str">
        <f>IF(V145="","",IFERROR(VLOOKUP(TRIM($V145),KEY!$B$2:$F$72,5,FALSE),""))</f>
        <v/>
      </c>
      <c r="N145" t="str">
        <f t="shared" si="102"/>
        <v/>
      </c>
      <c r="O145" t="str">
        <f t="shared" si="103"/>
        <v/>
      </c>
      <c r="P145" t="str">
        <f t="shared" si="104"/>
        <v/>
      </c>
      <c r="Q145" t="str">
        <f t="shared" si="105"/>
        <v/>
      </c>
      <c r="R145" t="str">
        <f t="shared" si="106"/>
        <v/>
      </c>
      <c r="S145" t="str">
        <f t="shared" si="107"/>
        <v/>
      </c>
      <c r="T145" t="str">
        <f>IF(V145="","",IFERROR(VLOOKUP(TRIM($V145),KEY!$B$2:$F$72,2,FALSE),""))</f>
        <v/>
      </c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</row>
    <row r="146" spans="2:39" x14ac:dyDescent="0.35">
      <c r="B146" t="str">
        <f t="shared" si="92"/>
        <v/>
      </c>
      <c r="C146" t="str">
        <f t="shared" si="93"/>
        <v/>
      </c>
      <c r="D146" t="str">
        <f t="shared" si="94"/>
        <v/>
      </c>
      <c r="E146" t="str">
        <f t="shared" si="95"/>
        <v/>
      </c>
      <c r="F146" t="str">
        <f t="shared" si="96"/>
        <v/>
      </c>
      <c r="G146" t="str">
        <f t="shared" si="97"/>
        <v/>
      </c>
      <c r="H146" t="str">
        <f>IF(V146="","",IFERROR(VLOOKUP(TRIM($V146),KEY!$B$2:$F$72,3,FALSE),""))</f>
        <v/>
      </c>
      <c r="I146" t="str">
        <f t="shared" si="98"/>
        <v/>
      </c>
      <c r="J146" t="str">
        <f t="shared" si="99"/>
        <v/>
      </c>
      <c r="K146" t="str">
        <f t="shared" si="100"/>
        <v/>
      </c>
      <c r="L146" t="str">
        <f t="shared" si="101"/>
        <v/>
      </c>
      <c r="M146" t="str">
        <f>IF(V146="","",IFERROR(VLOOKUP(TRIM($V146),KEY!$B$2:$F$72,5,FALSE),""))</f>
        <v/>
      </c>
      <c r="N146" t="str">
        <f t="shared" si="102"/>
        <v/>
      </c>
      <c r="O146" t="str">
        <f t="shared" si="103"/>
        <v/>
      </c>
      <c r="P146" t="str">
        <f t="shared" si="104"/>
        <v/>
      </c>
      <c r="Q146" t="str">
        <f t="shared" si="105"/>
        <v/>
      </c>
      <c r="R146" t="str">
        <f t="shared" si="106"/>
        <v/>
      </c>
      <c r="S146" t="str">
        <f t="shared" si="107"/>
        <v/>
      </c>
      <c r="T146" t="str">
        <f>IF(V146="","",IFERROR(VLOOKUP(TRIM($V146),KEY!$B$2:$F$72,2,FALSE),""))</f>
        <v/>
      </c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</row>
    <row r="147" spans="2:39" x14ac:dyDescent="0.35">
      <c r="B147" t="str">
        <f t="shared" si="92"/>
        <v/>
      </c>
      <c r="C147" t="str">
        <f t="shared" si="93"/>
        <v/>
      </c>
      <c r="D147" t="str">
        <f t="shared" si="94"/>
        <v/>
      </c>
      <c r="E147" t="str">
        <f t="shared" si="95"/>
        <v/>
      </c>
      <c r="F147" t="str">
        <f t="shared" si="96"/>
        <v/>
      </c>
      <c r="G147" t="str">
        <f t="shared" si="97"/>
        <v/>
      </c>
      <c r="H147" t="str">
        <f>IF(V147="","",IFERROR(VLOOKUP(TRIM($V147),KEY!$B$2:$F$72,3,FALSE),""))</f>
        <v/>
      </c>
      <c r="I147" t="str">
        <f t="shared" si="98"/>
        <v/>
      </c>
      <c r="J147" t="str">
        <f t="shared" si="99"/>
        <v/>
      </c>
      <c r="K147" t="str">
        <f t="shared" si="100"/>
        <v/>
      </c>
      <c r="L147" t="str">
        <f t="shared" si="101"/>
        <v/>
      </c>
      <c r="M147" t="str">
        <f>IF(V147="","",IFERROR(VLOOKUP(TRIM($V147),KEY!$B$2:$F$72,5,FALSE),""))</f>
        <v/>
      </c>
      <c r="N147" t="str">
        <f t="shared" si="102"/>
        <v/>
      </c>
      <c r="O147" t="str">
        <f t="shared" si="103"/>
        <v/>
      </c>
      <c r="P147" t="str">
        <f t="shared" si="104"/>
        <v/>
      </c>
      <c r="Q147" t="str">
        <f t="shared" si="105"/>
        <v/>
      </c>
      <c r="R147" t="str">
        <f t="shared" si="106"/>
        <v/>
      </c>
      <c r="S147" t="str">
        <f t="shared" si="107"/>
        <v/>
      </c>
      <c r="T147" t="str">
        <f>IF(V147="","",IFERROR(VLOOKUP(TRIM($V147),KEY!$B$2:$F$72,2,FALSE),""))</f>
        <v/>
      </c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</row>
    <row r="148" spans="2:39" x14ac:dyDescent="0.35">
      <c r="B148" t="str">
        <f t="shared" si="92"/>
        <v/>
      </c>
      <c r="C148" t="str">
        <f t="shared" si="93"/>
        <v/>
      </c>
      <c r="D148" t="str">
        <f t="shared" si="94"/>
        <v/>
      </c>
      <c r="E148" t="str">
        <f t="shared" si="95"/>
        <v/>
      </c>
      <c r="F148" t="str">
        <f t="shared" si="96"/>
        <v/>
      </c>
      <c r="G148" t="str">
        <f t="shared" si="97"/>
        <v/>
      </c>
      <c r="H148" t="str">
        <f>IF(V148="","",IFERROR(VLOOKUP(TRIM($V148),KEY!$B$2:$F$72,3,FALSE),""))</f>
        <v/>
      </c>
      <c r="I148" t="str">
        <f t="shared" si="98"/>
        <v/>
      </c>
      <c r="J148" t="str">
        <f t="shared" si="99"/>
        <v/>
      </c>
      <c r="K148" t="str">
        <f t="shared" si="100"/>
        <v/>
      </c>
      <c r="L148" t="str">
        <f t="shared" si="101"/>
        <v/>
      </c>
      <c r="M148" t="str">
        <f>IF(V148="","",IFERROR(VLOOKUP(TRIM($V148),KEY!$B$2:$F$72,5,FALSE),""))</f>
        <v/>
      </c>
      <c r="N148" t="str">
        <f t="shared" si="102"/>
        <v/>
      </c>
      <c r="O148" t="str">
        <f t="shared" si="103"/>
        <v/>
      </c>
      <c r="P148" t="str">
        <f t="shared" si="104"/>
        <v/>
      </c>
      <c r="Q148" t="str">
        <f t="shared" si="105"/>
        <v/>
      </c>
      <c r="R148" t="str">
        <f t="shared" si="106"/>
        <v/>
      </c>
      <c r="S148" t="str">
        <f t="shared" si="107"/>
        <v/>
      </c>
      <c r="T148" t="str">
        <f>IF(V148="","",IFERROR(VLOOKUP(TRIM($V148),KEY!$B$2:$F$72,2,FALSE),""))</f>
        <v/>
      </c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</row>
    <row r="149" spans="2:39" x14ac:dyDescent="0.35">
      <c r="B149" t="str">
        <f t="shared" si="92"/>
        <v/>
      </c>
      <c r="C149" t="str">
        <f t="shared" si="93"/>
        <v/>
      </c>
      <c r="D149" t="str">
        <f t="shared" si="94"/>
        <v/>
      </c>
      <c r="E149" t="str">
        <f t="shared" si="95"/>
        <v/>
      </c>
      <c r="F149" t="str">
        <f t="shared" si="96"/>
        <v/>
      </c>
      <c r="G149" t="str">
        <f t="shared" si="97"/>
        <v/>
      </c>
      <c r="H149" t="str">
        <f>IF(V149="","",IFERROR(VLOOKUP(TRIM($V149),KEY!$B$2:$F$72,3,FALSE),""))</f>
        <v/>
      </c>
      <c r="I149" t="str">
        <f t="shared" si="98"/>
        <v/>
      </c>
      <c r="J149" t="str">
        <f t="shared" si="99"/>
        <v/>
      </c>
      <c r="K149" t="str">
        <f t="shared" si="100"/>
        <v/>
      </c>
      <c r="L149" t="str">
        <f t="shared" si="101"/>
        <v/>
      </c>
      <c r="M149" t="str">
        <f>IF(V149="","",IFERROR(VLOOKUP(TRIM($V149),KEY!$B$2:$F$72,5,FALSE),""))</f>
        <v/>
      </c>
      <c r="N149" t="str">
        <f t="shared" si="102"/>
        <v/>
      </c>
      <c r="O149" t="str">
        <f t="shared" si="103"/>
        <v/>
      </c>
      <c r="P149" t="str">
        <f t="shared" si="104"/>
        <v/>
      </c>
      <c r="Q149" t="str">
        <f t="shared" si="105"/>
        <v/>
      </c>
      <c r="R149" t="str">
        <f t="shared" si="106"/>
        <v/>
      </c>
      <c r="S149" t="str">
        <f t="shared" si="107"/>
        <v/>
      </c>
      <c r="T149" t="str">
        <f>IF(V149="","",IFERROR(VLOOKUP(TRIM($V149),KEY!$B$2:$F$72,2,FALSE),""))</f>
        <v/>
      </c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</row>
    <row r="150" spans="2:39" x14ac:dyDescent="0.35">
      <c r="B150" t="str">
        <f t="shared" si="92"/>
        <v/>
      </c>
      <c r="C150" t="str">
        <f t="shared" si="93"/>
        <v/>
      </c>
      <c r="D150" t="str">
        <f t="shared" si="94"/>
        <v/>
      </c>
      <c r="E150" t="str">
        <f t="shared" si="95"/>
        <v/>
      </c>
      <c r="F150" t="str">
        <f t="shared" si="96"/>
        <v/>
      </c>
      <c r="G150" t="str">
        <f t="shared" si="97"/>
        <v/>
      </c>
      <c r="H150" t="str">
        <f>IF(V150="","",IFERROR(VLOOKUP(TRIM($V150),KEY!$B$2:$F$72,3,FALSE),""))</f>
        <v/>
      </c>
      <c r="I150" t="str">
        <f t="shared" si="98"/>
        <v/>
      </c>
      <c r="J150" t="str">
        <f t="shared" si="99"/>
        <v/>
      </c>
      <c r="K150" t="str">
        <f t="shared" si="100"/>
        <v/>
      </c>
      <c r="L150" t="str">
        <f t="shared" si="101"/>
        <v/>
      </c>
      <c r="M150" t="str">
        <f>IF(V150="","",IFERROR(VLOOKUP(TRIM($V150),KEY!$B$2:$F$72,5,FALSE),""))</f>
        <v/>
      </c>
      <c r="N150" t="str">
        <f t="shared" si="102"/>
        <v/>
      </c>
      <c r="O150" t="str">
        <f t="shared" si="103"/>
        <v/>
      </c>
      <c r="P150" t="str">
        <f t="shared" si="104"/>
        <v/>
      </c>
      <c r="Q150" t="str">
        <f t="shared" si="105"/>
        <v/>
      </c>
      <c r="R150" t="str">
        <f t="shared" si="106"/>
        <v/>
      </c>
      <c r="S150" t="str">
        <f t="shared" si="107"/>
        <v/>
      </c>
      <c r="T150" t="str">
        <f>IF(V150="","",IFERROR(VLOOKUP(TRIM($V150),KEY!$B$2:$F$72,2,FALSE),""))</f>
        <v/>
      </c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</row>
    <row r="151" spans="2:39" x14ac:dyDescent="0.35">
      <c r="B151" t="str">
        <f t="shared" si="92"/>
        <v/>
      </c>
      <c r="C151" t="str">
        <f t="shared" si="93"/>
        <v/>
      </c>
      <c r="D151" t="str">
        <f t="shared" si="94"/>
        <v/>
      </c>
      <c r="E151" t="str">
        <f t="shared" si="95"/>
        <v/>
      </c>
      <c r="F151" t="str">
        <f t="shared" si="96"/>
        <v/>
      </c>
      <c r="G151" t="str">
        <f t="shared" si="97"/>
        <v/>
      </c>
      <c r="H151" t="str">
        <f>IF(V151="","",IFERROR(VLOOKUP(TRIM($V151),KEY!$B$2:$F$72,3,FALSE),""))</f>
        <v/>
      </c>
      <c r="I151" t="str">
        <f t="shared" si="98"/>
        <v/>
      </c>
      <c r="J151" t="str">
        <f t="shared" si="99"/>
        <v/>
      </c>
      <c r="K151" t="str">
        <f t="shared" si="100"/>
        <v/>
      </c>
      <c r="L151" t="str">
        <f t="shared" si="101"/>
        <v/>
      </c>
      <c r="M151" t="str">
        <f>IF(V151="","",IFERROR(VLOOKUP(TRIM($V151),KEY!$B$2:$F$72,5,FALSE),""))</f>
        <v/>
      </c>
      <c r="N151" t="str">
        <f t="shared" si="102"/>
        <v/>
      </c>
      <c r="O151" t="str">
        <f t="shared" si="103"/>
        <v/>
      </c>
      <c r="P151" t="str">
        <f t="shared" si="104"/>
        <v/>
      </c>
      <c r="Q151" t="str">
        <f t="shared" si="105"/>
        <v/>
      </c>
      <c r="R151" t="str">
        <f t="shared" si="106"/>
        <v/>
      </c>
      <c r="S151" t="str">
        <f t="shared" si="107"/>
        <v/>
      </c>
      <c r="T151" t="str">
        <f>IF(V151="","",IFERROR(VLOOKUP(TRIM($V151),KEY!$B$2:$F$72,2,FALSE),""))</f>
        <v/>
      </c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</row>
    <row r="152" spans="2:39" x14ac:dyDescent="0.35">
      <c r="B152" t="str">
        <f t="shared" si="92"/>
        <v/>
      </c>
      <c r="C152" t="str">
        <f t="shared" si="93"/>
        <v/>
      </c>
      <c r="D152" t="str">
        <f t="shared" si="94"/>
        <v/>
      </c>
      <c r="E152" t="str">
        <f t="shared" si="95"/>
        <v/>
      </c>
      <c r="F152" t="str">
        <f t="shared" si="96"/>
        <v/>
      </c>
      <c r="G152" t="str">
        <f t="shared" si="97"/>
        <v/>
      </c>
      <c r="H152" t="str">
        <f>IF(V152="","",IFERROR(VLOOKUP(TRIM($V152),KEY!$B$2:$F$72,3,FALSE),""))</f>
        <v/>
      </c>
      <c r="I152" t="str">
        <f t="shared" si="98"/>
        <v/>
      </c>
      <c r="J152" t="str">
        <f t="shared" si="99"/>
        <v/>
      </c>
      <c r="K152" t="str">
        <f t="shared" si="100"/>
        <v/>
      </c>
      <c r="L152" t="str">
        <f t="shared" si="101"/>
        <v/>
      </c>
      <c r="M152" t="str">
        <f>IF(V152="","",IFERROR(VLOOKUP(TRIM($V152),KEY!$B$2:$F$72,5,FALSE),""))</f>
        <v/>
      </c>
      <c r="N152" t="str">
        <f t="shared" si="102"/>
        <v/>
      </c>
      <c r="O152" t="str">
        <f t="shared" si="103"/>
        <v/>
      </c>
      <c r="P152" t="str">
        <f t="shared" si="104"/>
        <v/>
      </c>
      <c r="Q152" t="str">
        <f t="shared" si="105"/>
        <v/>
      </c>
      <c r="R152" t="str">
        <f t="shared" si="106"/>
        <v/>
      </c>
      <c r="S152" t="str">
        <f t="shared" si="107"/>
        <v/>
      </c>
      <c r="T152" t="str">
        <f>IF(V152="","",IFERROR(VLOOKUP(TRIM($V152),KEY!$B$2:$F$72,2,FALSE),""))</f>
        <v/>
      </c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</row>
    <row r="153" spans="2:39" x14ac:dyDescent="0.35">
      <c r="B153" t="str">
        <f t="shared" si="92"/>
        <v/>
      </c>
      <c r="C153" t="str">
        <f t="shared" si="93"/>
        <v/>
      </c>
      <c r="D153" t="str">
        <f t="shared" si="94"/>
        <v/>
      </c>
      <c r="E153" t="str">
        <f t="shared" si="95"/>
        <v/>
      </c>
      <c r="F153" t="str">
        <f t="shared" si="96"/>
        <v/>
      </c>
      <c r="G153" t="str">
        <f t="shared" si="97"/>
        <v/>
      </c>
      <c r="H153" t="str">
        <f>IF(V153="","",IFERROR(VLOOKUP(TRIM($V153),KEY!$B$2:$F$72,3,FALSE),""))</f>
        <v/>
      </c>
      <c r="I153" t="str">
        <f t="shared" si="98"/>
        <v/>
      </c>
      <c r="J153" t="str">
        <f t="shared" si="99"/>
        <v/>
      </c>
      <c r="K153" t="str">
        <f t="shared" si="100"/>
        <v/>
      </c>
      <c r="L153" t="str">
        <f t="shared" si="101"/>
        <v/>
      </c>
      <c r="M153" t="str">
        <f>IF(V153="","",IFERROR(VLOOKUP(TRIM($V153),KEY!$B$2:$F$72,5,FALSE),""))</f>
        <v/>
      </c>
      <c r="N153" t="str">
        <f t="shared" si="102"/>
        <v/>
      </c>
      <c r="O153" t="str">
        <f t="shared" si="103"/>
        <v/>
      </c>
      <c r="P153" t="str">
        <f t="shared" si="104"/>
        <v/>
      </c>
      <c r="Q153" t="str">
        <f t="shared" si="105"/>
        <v/>
      </c>
      <c r="R153" t="str">
        <f t="shared" si="106"/>
        <v/>
      </c>
      <c r="S153" t="str">
        <f t="shared" si="107"/>
        <v/>
      </c>
      <c r="T153" t="str">
        <f>IF(V153="","",IFERROR(VLOOKUP(TRIM($V153),KEY!$B$2:$F$72,2,FALSE),""))</f>
        <v/>
      </c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</row>
    <row r="154" spans="2:39" x14ac:dyDescent="0.35">
      <c r="B154" t="str">
        <f t="shared" si="92"/>
        <v/>
      </c>
      <c r="C154" t="str">
        <f t="shared" si="93"/>
        <v/>
      </c>
      <c r="D154" t="str">
        <f t="shared" si="94"/>
        <v/>
      </c>
      <c r="E154" t="str">
        <f t="shared" si="95"/>
        <v/>
      </c>
      <c r="F154" t="str">
        <f t="shared" si="96"/>
        <v/>
      </c>
      <c r="G154" t="str">
        <f t="shared" si="97"/>
        <v/>
      </c>
      <c r="H154" t="str">
        <f>IF(V154="","",IFERROR(VLOOKUP(TRIM($V154),KEY!$B$2:$F$72,3,FALSE),""))</f>
        <v/>
      </c>
      <c r="I154" t="str">
        <f t="shared" si="98"/>
        <v/>
      </c>
      <c r="J154" t="str">
        <f t="shared" si="99"/>
        <v/>
      </c>
      <c r="K154" t="str">
        <f t="shared" si="100"/>
        <v/>
      </c>
      <c r="L154" t="str">
        <f t="shared" si="101"/>
        <v/>
      </c>
      <c r="M154" t="str">
        <f>IF(V154="","",IFERROR(VLOOKUP(TRIM($V154),KEY!$B$2:$F$72,5,FALSE),""))</f>
        <v/>
      </c>
      <c r="N154" t="str">
        <f t="shared" si="102"/>
        <v/>
      </c>
      <c r="O154" t="str">
        <f t="shared" si="103"/>
        <v/>
      </c>
      <c r="P154" t="str">
        <f t="shared" si="104"/>
        <v/>
      </c>
      <c r="Q154" t="str">
        <f t="shared" si="105"/>
        <v/>
      </c>
      <c r="R154" t="str">
        <f t="shared" si="106"/>
        <v/>
      </c>
      <c r="S154" t="str">
        <f t="shared" si="107"/>
        <v/>
      </c>
      <c r="T154" t="str">
        <f>IF(V154="","",IFERROR(VLOOKUP(TRIM($V154),KEY!$B$2:$F$72,2,FALSE),""))</f>
        <v/>
      </c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</row>
    <row r="155" spans="2:39" x14ac:dyDescent="0.35">
      <c r="B155" t="str">
        <f t="shared" si="92"/>
        <v/>
      </c>
      <c r="C155" t="str">
        <f t="shared" si="93"/>
        <v/>
      </c>
      <c r="D155" t="str">
        <f t="shared" si="94"/>
        <v/>
      </c>
      <c r="E155" t="str">
        <f t="shared" si="95"/>
        <v/>
      </c>
      <c r="F155" t="str">
        <f t="shared" si="96"/>
        <v/>
      </c>
      <c r="G155" t="str">
        <f t="shared" si="97"/>
        <v/>
      </c>
      <c r="H155" t="str">
        <f>IF(V155="","",IFERROR(VLOOKUP(TRIM($V155),KEY!$B$2:$F$72,3,FALSE),""))</f>
        <v/>
      </c>
      <c r="I155" t="str">
        <f t="shared" si="98"/>
        <v/>
      </c>
      <c r="J155" t="str">
        <f t="shared" si="99"/>
        <v/>
      </c>
      <c r="K155" t="str">
        <f t="shared" si="100"/>
        <v/>
      </c>
      <c r="L155" t="str">
        <f t="shared" si="101"/>
        <v/>
      </c>
      <c r="M155" t="str">
        <f>IF(V155="","",IFERROR(VLOOKUP(TRIM($V155),KEY!$B$2:$F$72,5,FALSE),""))</f>
        <v/>
      </c>
      <c r="N155" t="str">
        <f t="shared" si="102"/>
        <v/>
      </c>
      <c r="O155" t="str">
        <f t="shared" si="103"/>
        <v/>
      </c>
      <c r="P155" t="str">
        <f t="shared" si="104"/>
        <v/>
      </c>
      <c r="Q155" t="str">
        <f t="shared" si="105"/>
        <v/>
      </c>
      <c r="R155" t="str">
        <f t="shared" si="106"/>
        <v/>
      </c>
      <c r="S155" t="str">
        <f t="shared" si="107"/>
        <v/>
      </c>
      <c r="T155" t="str">
        <f>IF(V155="","",IFERROR(VLOOKUP(TRIM($V155),KEY!$B$2:$F$72,2,FALSE),""))</f>
        <v/>
      </c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</row>
    <row r="156" spans="2:39" x14ac:dyDescent="0.35">
      <c r="B156" t="str">
        <f t="shared" si="92"/>
        <v/>
      </c>
      <c r="C156" t="str">
        <f t="shared" si="93"/>
        <v/>
      </c>
      <c r="D156" t="str">
        <f t="shared" si="94"/>
        <v/>
      </c>
      <c r="E156" t="str">
        <f t="shared" si="95"/>
        <v/>
      </c>
      <c r="F156" t="str">
        <f t="shared" si="96"/>
        <v/>
      </c>
      <c r="G156" t="str">
        <f t="shared" si="97"/>
        <v/>
      </c>
      <c r="H156" t="str">
        <f>IF(V156="","",IFERROR(VLOOKUP(TRIM($V156),KEY!$B$2:$F$72,3,FALSE),""))</f>
        <v/>
      </c>
      <c r="I156" t="str">
        <f t="shared" si="98"/>
        <v/>
      </c>
      <c r="J156" t="str">
        <f t="shared" si="99"/>
        <v/>
      </c>
      <c r="K156" t="str">
        <f t="shared" si="100"/>
        <v/>
      </c>
      <c r="L156" t="str">
        <f t="shared" si="101"/>
        <v/>
      </c>
      <c r="M156" t="str">
        <f>IF(V156="","",IFERROR(VLOOKUP(TRIM($V156),KEY!$B$2:$F$72,5,FALSE),""))</f>
        <v/>
      </c>
      <c r="N156" t="str">
        <f t="shared" si="102"/>
        <v/>
      </c>
      <c r="O156" t="str">
        <f t="shared" si="103"/>
        <v/>
      </c>
      <c r="P156" t="str">
        <f t="shared" si="104"/>
        <v/>
      </c>
      <c r="Q156" t="str">
        <f t="shared" si="105"/>
        <v/>
      </c>
      <c r="R156" t="str">
        <f t="shared" si="106"/>
        <v/>
      </c>
      <c r="S156" t="str">
        <f t="shared" si="107"/>
        <v/>
      </c>
      <c r="T156" t="str">
        <f>IF(V156="","",IFERROR(VLOOKUP(TRIM($V156),KEY!$B$2:$F$72,2,FALSE),""))</f>
        <v/>
      </c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</row>
    <row r="157" spans="2:39" x14ac:dyDescent="0.35">
      <c r="B157" t="str">
        <f t="shared" si="92"/>
        <v/>
      </c>
      <c r="C157" t="str">
        <f t="shared" si="93"/>
        <v/>
      </c>
      <c r="D157" t="str">
        <f t="shared" si="94"/>
        <v/>
      </c>
      <c r="E157" t="str">
        <f t="shared" si="95"/>
        <v/>
      </c>
      <c r="F157" t="str">
        <f t="shared" si="96"/>
        <v/>
      </c>
      <c r="G157" t="str">
        <f t="shared" si="97"/>
        <v/>
      </c>
      <c r="H157" t="str">
        <f>IF(V157="","",IFERROR(VLOOKUP(TRIM($V157),KEY!$B$2:$F$72,3,FALSE),""))</f>
        <v/>
      </c>
      <c r="I157" t="str">
        <f t="shared" si="98"/>
        <v/>
      </c>
      <c r="J157" t="str">
        <f t="shared" si="99"/>
        <v/>
      </c>
      <c r="K157" t="str">
        <f t="shared" si="100"/>
        <v/>
      </c>
      <c r="L157" t="str">
        <f t="shared" si="101"/>
        <v/>
      </c>
      <c r="M157" t="str">
        <f>IF(V157="","",IFERROR(VLOOKUP(TRIM($V157),KEY!$B$2:$F$72,5,FALSE),""))</f>
        <v/>
      </c>
      <c r="N157" t="str">
        <f t="shared" si="102"/>
        <v/>
      </c>
      <c r="O157" t="str">
        <f t="shared" si="103"/>
        <v/>
      </c>
      <c r="P157" t="str">
        <f t="shared" si="104"/>
        <v/>
      </c>
      <c r="Q157" t="str">
        <f t="shared" si="105"/>
        <v/>
      </c>
      <c r="R157" t="str">
        <f t="shared" si="106"/>
        <v/>
      </c>
      <c r="S157" t="str">
        <f t="shared" si="107"/>
        <v/>
      </c>
      <c r="T157" t="str">
        <f>IF(V157="","",IFERROR(VLOOKUP(TRIM($V157),KEY!$B$2:$F$72,2,FALSE),""))</f>
        <v/>
      </c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</row>
    <row r="158" spans="2:39" x14ac:dyDescent="0.35">
      <c r="B158" t="str">
        <f t="shared" si="92"/>
        <v/>
      </c>
      <c r="C158" t="str">
        <f t="shared" si="93"/>
        <v/>
      </c>
      <c r="D158" t="str">
        <f t="shared" si="94"/>
        <v/>
      </c>
      <c r="E158" t="str">
        <f t="shared" si="95"/>
        <v/>
      </c>
      <c r="F158" t="str">
        <f t="shared" si="96"/>
        <v/>
      </c>
      <c r="G158" t="str">
        <f t="shared" si="97"/>
        <v/>
      </c>
      <c r="H158" t="str">
        <f>IF(V158="","",IFERROR(VLOOKUP(TRIM($V158),KEY!$B$2:$F$72,3,FALSE),""))</f>
        <v/>
      </c>
      <c r="I158" t="str">
        <f t="shared" si="98"/>
        <v/>
      </c>
      <c r="J158" t="str">
        <f t="shared" si="99"/>
        <v/>
      </c>
      <c r="K158" t="str">
        <f t="shared" si="100"/>
        <v/>
      </c>
      <c r="L158" t="str">
        <f t="shared" si="101"/>
        <v/>
      </c>
      <c r="M158" t="str">
        <f>IF(V158="","",IFERROR(VLOOKUP(TRIM($V158),KEY!$B$2:$F$72,5,FALSE),""))</f>
        <v/>
      </c>
      <c r="N158" t="str">
        <f t="shared" si="102"/>
        <v/>
      </c>
      <c r="O158" t="str">
        <f t="shared" si="103"/>
        <v/>
      </c>
      <c r="P158" t="str">
        <f t="shared" si="104"/>
        <v/>
      </c>
      <c r="Q158" t="str">
        <f t="shared" si="105"/>
        <v/>
      </c>
      <c r="R158" t="str">
        <f t="shared" si="106"/>
        <v/>
      </c>
      <c r="S158" t="str">
        <f t="shared" si="107"/>
        <v/>
      </c>
      <c r="T158" t="str">
        <f>IF(V158="","",IFERROR(VLOOKUP(TRIM($V158),KEY!$B$2:$F$72,2,FALSE),""))</f>
        <v/>
      </c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</row>
    <row r="159" spans="2:39" ht="15.5" x14ac:dyDescent="0.35">
      <c r="V159" s="1" t="s">
        <v>203</v>
      </c>
      <c r="W159" s="57">
        <f t="shared" ref="W159:X159" si="108">SUM(W88:W158)</f>
        <v>962</v>
      </c>
      <c r="X159" s="57">
        <f t="shared" si="108"/>
        <v>174</v>
      </c>
      <c r="Y159" s="58">
        <f>X159/W159</f>
        <v>0.18087318087318088</v>
      </c>
      <c r="Z159" s="57">
        <f t="shared" ref="Z159:AD159" si="109">SUM(Z88:Z158)</f>
        <v>12</v>
      </c>
      <c r="AA159" s="57">
        <f t="shared" si="109"/>
        <v>174</v>
      </c>
      <c r="AB159" s="57">
        <f t="shared" si="109"/>
        <v>10</v>
      </c>
      <c r="AC159" s="57">
        <f t="shared" si="109"/>
        <v>52</v>
      </c>
      <c r="AD159" s="57">
        <f t="shared" si="109"/>
        <v>248</v>
      </c>
      <c r="AE159" s="58">
        <f>AD159/W159</f>
        <v>0.25779625779625781</v>
      </c>
      <c r="AF159" s="57">
        <f>SUM(AF88:AF158)</f>
        <v>240</v>
      </c>
      <c r="AG159" s="57">
        <f>SUM(AG88:AG158)</f>
        <v>34</v>
      </c>
      <c r="AH159" s="57">
        <f>SUM(AH88:AH158)</f>
        <v>321</v>
      </c>
      <c r="AI159" s="58">
        <f>(AF159+AG159+AH159)/W159</f>
        <v>0.61850311850311845</v>
      </c>
      <c r="AJ159" s="57">
        <f>SUM(AJ88:AJ158)</f>
        <v>55</v>
      </c>
      <c r="AK159" s="57">
        <f>SUM(AK88:AK158)</f>
        <v>64</v>
      </c>
      <c r="AL159" s="57">
        <f>SUM(AL88:AL158)</f>
        <v>0</v>
      </c>
      <c r="AM159" s="58">
        <f>(AJ159+AK159+AL159)/W159</f>
        <v>0.12370062370062371</v>
      </c>
    </row>
    <row r="160" spans="2:39" x14ac:dyDescent="0.35">
      <c r="J160" t="str">
        <f ca="1">$X$1&amp;"-"&amp;O160</f>
        <v>Jan 2026-RGN-7</v>
      </c>
      <c r="N160" t="s">
        <v>204</v>
      </c>
      <c r="O160" t="str">
        <f ca="1">T160&amp;"-"&amp;P160</f>
        <v>RGN-7</v>
      </c>
      <c r="P160">
        <f ca="1">COUNTIFS(T160:T168,T160,Q160:Q168,"&lt;"&amp;Q160)+1</f>
        <v>7</v>
      </c>
      <c r="Q160">
        <f ca="1">S160+(R160/100)</f>
        <v>7.01</v>
      </c>
      <c r="R160">
        <f>COUNTIFS(T160:T168,T160,V160:V168,"&lt;"&amp;V160)+1</f>
        <v>1</v>
      </c>
      <c r="S160">
        <f ca="1">COUNTIFS(T160:T168,T160,Y160:Y168,"&gt;"&amp;Y160)+1</f>
        <v>7</v>
      </c>
      <c r="T160" t="s">
        <v>205</v>
      </c>
      <c r="V160" t="s">
        <v>204</v>
      </c>
      <c r="W160" s="1">
        <f ca="1">SUMIF(H88:W158,N160,W88:W158)</f>
        <v>145</v>
      </c>
      <c r="X160" s="1">
        <f ca="1">SUMIF(H88:X158,N160,X88:X158)</f>
        <v>15</v>
      </c>
      <c r="Y160" s="3">
        <f t="shared" ref="Y160:Y162" ca="1" si="110">X160/W160</f>
        <v>0.10344827586206896</v>
      </c>
      <c r="Z160" s="1">
        <f ca="1">SUMIF(H88:Z158,N160,Z88:Z158)</f>
        <v>2</v>
      </c>
      <c r="AA160" s="1">
        <f ca="1">SUMIF(H88:AA158,N160,AA88:AA158)</f>
        <v>15</v>
      </c>
      <c r="AB160" s="1">
        <f ca="1">SUMIF(H88:AB158,N160,AB88:AB158)</f>
        <v>1</v>
      </c>
      <c r="AC160" s="1">
        <f ca="1">SUMIF(H88:AC158,N160,AC88:AC158)</f>
        <v>3</v>
      </c>
      <c r="AD160" s="1">
        <f ca="1">SUMIF(H88:AD158,N160,AD88:AD158)</f>
        <v>21</v>
      </c>
      <c r="AE160" s="3">
        <f t="shared" ref="AE160:AE162" ca="1" si="111">AD160/W160</f>
        <v>0.14482758620689656</v>
      </c>
      <c r="AF160" s="1">
        <f ca="1">SUMIF(H88:AF158,N160,AF88:AF158)</f>
        <v>11</v>
      </c>
      <c r="AG160" s="1">
        <f ca="1">SUMIF(H88:AG158,N160,AG88:AG158)</f>
        <v>0</v>
      </c>
      <c r="AH160" s="1">
        <f ca="1">SUMIF(H88:AH158,N160,AH88:AH158)</f>
        <v>102</v>
      </c>
      <c r="AI160" s="3">
        <f t="shared" ref="AI160:AI162" ca="1" si="112">(AF160+AG160+AH160)/W160</f>
        <v>0.77931034482758621</v>
      </c>
      <c r="AJ160" s="1">
        <f ca="1">SUMIF(H88:AJ158,N160,AJ88:AJ158)</f>
        <v>1</v>
      </c>
      <c r="AK160" s="1">
        <f ca="1">SUMIF(H88:AK158,N160,AK88:AK158)</f>
        <v>10</v>
      </c>
      <c r="AL160" s="1">
        <f ca="1">SUMIF(H88:AL158,N160,AL88:AL158)</f>
        <v>0</v>
      </c>
      <c r="AM160" s="3">
        <f t="shared" ref="AM160:AM162" ca="1" si="113">(AJ160+AK160+AL160)/W160</f>
        <v>7.586206896551724E-2</v>
      </c>
    </row>
    <row r="161" spans="1:39" x14ac:dyDescent="0.35">
      <c r="J161" t="str">
        <f t="shared" ref="J161:J162" ca="1" si="114">$X$1&amp;"-"&amp;O161</f>
        <v>Jan 2026-RGN-8</v>
      </c>
      <c r="N161" t="s">
        <v>206</v>
      </c>
      <c r="O161" t="str">
        <f t="shared" ref="O161:O162" ca="1" si="115">T161&amp;"-"&amp;P161</f>
        <v>RGN-8</v>
      </c>
      <c r="P161">
        <f ca="1">COUNTIFS(T160:T168,T161,Q160:Q168,"&lt;"&amp;Q161)+1</f>
        <v>8</v>
      </c>
      <c r="Q161">
        <f t="shared" ref="Q161:Q162" ca="1" si="116">S161+(R161/100)</f>
        <v>8.02</v>
      </c>
      <c r="R161">
        <f>COUNTIFS(T160:T168,T161,V160:V168,"&lt;"&amp;V161)+1</f>
        <v>2</v>
      </c>
      <c r="S161">
        <f ca="1">COUNTIFS(T160:T168,T161,Y160:Y168,"&gt;"&amp;Y161)+1</f>
        <v>8</v>
      </c>
      <c r="T161" t="s">
        <v>205</v>
      </c>
      <c r="V161" t="s">
        <v>206</v>
      </c>
      <c r="W161" s="1">
        <f ca="1">SUMIF(H88:W158,N161,W88:W158)</f>
        <v>50</v>
      </c>
      <c r="X161" s="1">
        <f ca="1">SUMIF(H88:X158,N161,X88:X158)</f>
        <v>4</v>
      </c>
      <c r="Y161" s="3">
        <f t="shared" ca="1" si="110"/>
        <v>0.08</v>
      </c>
      <c r="Z161" s="1">
        <f ca="1">SUMIF(H88:Z158,N161,Z88:Z158)</f>
        <v>0</v>
      </c>
      <c r="AA161" s="1">
        <f ca="1">SUMIF(H88:AA158,N161,AA88:AA158)</f>
        <v>4</v>
      </c>
      <c r="AB161" s="1">
        <f ca="1">SUMIF(H88:AB158,N161,AB88:AB158)</f>
        <v>0</v>
      </c>
      <c r="AC161" s="1">
        <f ca="1">SUMIF(H88:AC158,N161,AC88:AC158)</f>
        <v>3</v>
      </c>
      <c r="AD161" s="1">
        <f ca="1">SUMIF(H88:AD158,N161,AD88:AD158)</f>
        <v>7</v>
      </c>
      <c r="AE161" s="3">
        <f t="shared" ca="1" si="111"/>
        <v>0.14000000000000001</v>
      </c>
      <c r="AF161" s="1">
        <f ca="1">SUMIF(H88:AF158,N161,AF88:AF158)</f>
        <v>31</v>
      </c>
      <c r="AG161" s="1">
        <f ca="1">SUMIF(H88:AG158,N161,AG88:AG158)</f>
        <v>0</v>
      </c>
      <c r="AH161" s="1">
        <f ca="1">SUMIF(H88:AH158,N161,AH88:AH158)</f>
        <v>0</v>
      </c>
      <c r="AI161" s="3">
        <f t="shared" ca="1" si="112"/>
        <v>0.62</v>
      </c>
      <c r="AJ161" s="1">
        <f ca="1">SUMIF(H88:AJ158,N161,AJ88:AJ158)</f>
        <v>0</v>
      </c>
      <c r="AK161" s="1">
        <f ca="1">SUMIF(H88:AK158,N161,AK88:AK158)</f>
        <v>12</v>
      </c>
      <c r="AL161" s="1">
        <f ca="1">SUMIF(H88:AL158,N161,AL88:AL158)</f>
        <v>0</v>
      </c>
      <c r="AM161" s="3">
        <f t="shared" ca="1" si="113"/>
        <v>0.24</v>
      </c>
    </row>
    <row r="162" spans="1:39" x14ac:dyDescent="0.35">
      <c r="J162" t="str">
        <f t="shared" ca="1" si="114"/>
        <v>Jan 2026-RGN-4</v>
      </c>
      <c r="N162" t="s">
        <v>207</v>
      </c>
      <c r="O162" t="str">
        <f t="shared" ca="1" si="115"/>
        <v>RGN-4</v>
      </c>
      <c r="P162">
        <f ca="1">COUNTIFS(T160:T168,T162,Q160:Q168,"&lt;"&amp;Q162)+1</f>
        <v>4</v>
      </c>
      <c r="Q162">
        <f t="shared" ca="1" si="116"/>
        <v>4.03</v>
      </c>
      <c r="R162">
        <f>COUNTIFS(T160:T168,T162,V160:V168,"&lt;"&amp;V162)+1</f>
        <v>3</v>
      </c>
      <c r="S162">
        <f ca="1">COUNTIFS(T160:T168,T162,Y160:Y168,"&gt;"&amp;Y162)+1</f>
        <v>4</v>
      </c>
      <c r="T162" t="s">
        <v>205</v>
      </c>
      <c r="V162" t="s">
        <v>207</v>
      </c>
      <c r="W162" s="1">
        <f ca="1">SUMIF(H88:W158,N162,W88:W158)</f>
        <v>58</v>
      </c>
      <c r="X162" s="1">
        <f ca="1">SUMIF(H88:X158,N162,X88:X158)</f>
        <v>11</v>
      </c>
      <c r="Y162" s="3">
        <f t="shared" ca="1" si="110"/>
        <v>0.18965517241379309</v>
      </c>
      <c r="Z162" s="1">
        <f ca="1">SUMIF(H88:Z158,N162,Z88:Z158)</f>
        <v>0</v>
      </c>
      <c r="AA162" s="1">
        <f ca="1">SUMIF(H88:AA158,N162,AA88:AA158)</f>
        <v>11</v>
      </c>
      <c r="AB162" s="1">
        <f ca="1">SUMIF(H88:AB158,N162,AB88:AB158)</f>
        <v>1</v>
      </c>
      <c r="AC162" s="1">
        <f ca="1">SUMIF(H88:AC158,N162,AC88:AC158)</f>
        <v>0</v>
      </c>
      <c r="AD162" s="1">
        <f ca="1">SUMIF(H88:AD158,N162,AD88:AD158)</f>
        <v>12</v>
      </c>
      <c r="AE162" s="3">
        <f t="shared" ca="1" si="111"/>
        <v>0.20689655172413793</v>
      </c>
      <c r="AF162" s="1">
        <f ca="1">SUMIF(H88:AF158,N162,AF88:AF158)</f>
        <v>13</v>
      </c>
      <c r="AG162" s="1">
        <f ca="1">SUMIF(H88:AG158,N162,AG88:AG158)</f>
        <v>0</v>
      </c>
      <c r="AH162" s="1">
        <f ca="1">SUMIF(H88:AH158,N162,AH88:AH158)</f>
        <v>28</v>
      </c>
      <c r="AI162" s="3">
        <f t="shared" ca="1" si="112"/>
        <v>0.7068965517241379</v>
      </c>
      <c r="AJ162" s="1">
        <f ca="1">SUMIF(H88:AJ158,N162,AJ88:AJ158)</f>
        <v>4</v>
      </c>
      <c r="AK162" s="1">
        <f ca="1">SUMIF(H88:AK158,N162,AK88:AK158)</f>
        <v>1</v>
      </c>
      <c r="AL162" s="1">
        <f ca="1">SUMIF(H88:AL158,N162,AL88:AL158)</f>
        <v>0</v>
      </c>
      <c r="AM162" s="3">
        <f t="shared" ca="1" si="113"/>
        <v>8.6206896551724144E-2</v>
      </c>
    </row>
    <row r="163" spans="1:39" x14ac:dyDescent="0.35">
      <c r="J163" t="str">
        <f t="shared" ref="J163:J167" ca="1" si="117">$X$1&amp;"-"&amp;O163</f>
        <v>Jan 2026-RGN-5</v>
      </c>
      <c r="N163" t="s">
        <v>208</v>
      </c>
      <c r="O163" t="str">
        <f t="shared" ref="O163:O167" ca="1" si="118">T163&amp;"-"&amp;P163</f>
        <v>RGN-5</v>
      </c>
      <c r="P163">
        <f ca="1">COUNTIFS(T159:T167,T163,Q159:Q167,"&lt;"&amp;Q163)+1</f>
        <v>5</v>
      </c>
      <c r="Q163">
        <f t="shared" ref="Q163:Q167" ca="1" si="119">S163+(R163/100)</f>
        <v>5.04</v>
      </c>
      <c r="R163">
        <f>COUNTIFS(T159:T167,T163,V159:V167,"&lt;"&amp;V163)+1</f>
        <v>4</v>
      </c>
      <c r="S163">
        <f ca="1">COUNTIFS(T159:T167,T163,Y159:Y167,"&gt;"&amp;Y163)+1</f>
        <v>5</v>
      </c>
      <c r="T163" t="s">
        <v>205</v>
      </c>
      <c r="V163" t="s">
        <v>208</v>
      </c>
      <c r="W163" s="1">
        <f ca="1">SUMIF(H87:W157,N163,W87:W157)</f>
        <v>183</v>
      </c>
      <c r="X163" s="1">
        <f ca="1">SUMIF(H87:X157,N163,X87:X157)</f>
        <v>29</v>
      </c>
      <c r="Y163" s="3">
        <f t="shared" ref="Y163:Y167" ca="1" si="120">X163/W163</f>
        <v>0.15846994535519127</v>
      </c>
      <c r="Z163" s="1">
        <f ca="1">SUMIF(H87:Z157,N163,Z87:Z157)</f>
        <v>1</v>
      </c>
      <c r="AA163" s="1">
        <f ca="1">SUMIF(H87:AA157,N163,AA87:AA157)</f>
        <v>29</v>
      </c>
      <c r="AB163" s="1">
        <f ca="1">SUMIF(H87:AB157,N163,AB87:AB157)</f>
        <v>2</v>
      </c>
      <c r="AC163" s="1">
        <f ca="1">SUMIF(H87:AC157,N163,AC87:AC157)</f>
        <v>12</v>
      </c>
      <c r="AD163" s="1">
        <f ca="1">SUMIF(H87:AD157,N163,AD87:AD157)</f>
        <v>44</v>
      </c>
      <c r="AE163" s="3">
        <f t="shared" ref="AE163:AE167" ca="1" si="121">AD163/W163</f>
        <v>0.24043715846994534</v>
      </c>
      <c r="AF163" s="1">
        <f ca="1">SUMIF(H87:AF157,N163,AF87:AF157)</f>
        <v>84</v>
      </c>
      <c r="AG163" s="1">
        <f ca="1">SUMIF(H87:AG157,N163,AG87:AG157)</f>
        <v>1</v>
      </c>
      <c r="AH163" s="1">
        <f ca="1">SUMIF(H87:AH157,N163,AH87:AH157)</f>
        <v>36</v>
      </c>
      <c r="AI163" s="3">
        <f t="shared" ref="AI163:AI167" ca="1" si="122">(AF163+AG163+AH163)/W163</f>
        <v>0.66120218579234968</v>
      </c>
      <c r="AJ163" s="1">
        <f ca="1">SUMIF(H87:AJ157,N163,AJ87:AJ157)</f>
        <v>10</v>
      </c>
      <c r="AK163" s="1">
        <f ca="1">SUMIF(H87:AK157,N163,AK87:AK157)</f>
        <v>8</v>
      </c>
      <c r="AL163" s="1">
        <f ca="1">SUMIF(H87:AL157,N163,AL87:AL157)</f>
        <v>0</v>
      </c>
      <c r="AM163" s="3">
        <f t="shared" ref="AM163:AM167" ca="1" si="123">(AJ163+AK163+AL163)/W163</f>
        <v>9.8360655737704916E-2</v>
      </c>
    </row>
    <row r="164" spans="1:39" x14ac:dyDescent="0.35">
      <c r="J164" t="str">
        <f t="shared" ca="1" si="117"/>
        <v>Jan 2026-RGN-2</v>
      </c>
      <c r="N164" t="s">
        <v>209</v>
      </c>
      <c r="O164" t="str">
        <f t="shared" ca="1" si="118"/>
        <v>RGN-2</v>
      </c>
      <c r="P164">
        <f ca="1">COUNTIFS(T159:T167,T164,Q159:Q167,"&lt;"&amp;Q164)+1</f>
        <v>2</v>
      </c>
      <c r="Q164">
        <f t="shared" ca="1" si="119"/>
        <v>2.0499999999999998</v>
      </c>
      <c r="R164">
        <f>COUNTIFS(T159:T167,T164,V159:V167,"&lt;"&amp;V164)+1</f>
        <v>5</v>
      </c>
      <c r="S164">
        <f ca="1">COUNTIFS(T159:T167,T164,Y159:Y167,"&gt;"&amp;Y164)+1</f>
        <v>2</v>
      </c>
      <c r="T164" t="s">
        <v>205</v>
      </c>
      <c r="V164" t="s">
        <v>209</v>
      </c>
      <c r="W164" s="1">
        <f ca="1">SUMIF(H87:W157,N164,W87:W157)</f>
        <v>261</v>
      </c>
      <c r="X164" s="1">
        <f ca="1">SUMIF(H87:X157,N164,X87:X157)</f>
        <v>62</v>
      </c>
      <c r="Y164" s="3">
        <f t="shared" ca="1" si="120"/>
        <v>0.23754789272030652</v>
      </c>
      <c r="Z164" s="1">
        <f ca="1">SUMIF(H87:Z157,N164,Z87:Z157)</f>
        <v>1</v>
      </c>
      <c r="AA164" s="1">
        <f ca="1">SUMIF(H87:AA157,N164,AA87:AA157)</f>
        <v>62</v>
      </c>
      <c r="AB164" s="1">
        <f ca="1">SUMIF(H87:AB157,N164,AB87:AB157)</f>
        <v>5</v>
      </c>
      <c r="AC164" s="1">
        <f ca="1">SUMIF(H87:AC157,N164,AC87:AC157)</f>
        <v>19</v>
      </c>
      <c r="AD164" s="1">
        <f ca="1">SUMIF(H87:AD157,N164,AD87:AD157)</f>
        <v>87</v>
      </c>
      <c r="AE164" s="3">
        <f t="shared" ca="1" si="121"/>
        <v>0.33333333333333331</v>
      </c>
      <c r="AF164" s="1">
        <f ca="1">SUMIF(H87:AF157,N164,AF87:AF157)</f>
        <v>57</v>
      </c>
      <c r="AG164" s="1">
        <f ca="1">SUMIF(H87:AG157,N164,AG87:AG157)</f>
        <v>33</v>
      </c>
      <c r="AH164" s="1">
        <f ca="1">SUMIF(H87:AH157,N164,AH87:AH157)</f>
        <v>46</v>
      </c>
      <c r="AI164" s="3">
        <f t="shared" ca="1" si="122"/>
        <v>0.52107279693486586</v>
      </c>
      <c r="AJ164" s="1">
        <f ca="1">SUMIF(H87:AJ157,N164,AJ87:AJ157)</f>
        <v>17</v>
      </c>
      <c r="AK164" s="1">
        <f ca="1">SUMIF(H87:AK157,N164,AK87:AK157)</f>
        <v>21</v>
      </c>
      <c r="AL164" s="1">
        <f ca="1">SUMIF(H87:AL157,N164,AL87:AL157)</f>
        <v>0</v>
      </c>
      <c r="AM164" s="3">
        <f t="shared" ca="1" si="123"/>
        <v>0.14559386973180077</v>
      </c>
    </row>
    <row r="165" spans="1:39" x14ac:dyDescent="0.35">
      <c r="J165" t="str">
        <f t="shared" ca="1" si="117"/>
        <v>Jan 2026-RGN-6</v>
      </c>
      <c r="N165" t="s">
        <v>210</v>
      </c>
      <c r="O165" t="str">
        <f t="shared" ca="1" si="118"/>
        <v>RGN-6</v>
      </c>
      <c r="P165">
        <f ca="1">COUNTIFS(T159:T167,T165,Q159:Q167,"&lt;"&amp;Q165)+1</f>
        <v>6</v>
      </c>
      <c r="Q165">
        <f t="shared" ca="1" si="119"/>
        <v>6.06</v>
      </c>
      <c r="R165">
        <f>COUNTIFS(T159:T167,T165,V159:V167,"&lt;"&amp;V165)+1</f>
        <v>6</v>
      </c>
      <c r="S165">
        <f ca="1">COUNTIFS(T159:T167,T165,Y159:Y167,"&gt;"&amp;Y165)+1</f>
        <v>6</v>
      </c>
      <c r="T165" t="s">
        <v>205</v>
      </c>
      <c r="V165" t="s">
        <v>210</v>
      </c>
      <c r="W165" s="1">
        <f ca="1">SUMIF(H87:W157,N165,W87:W157)</f>
        <v>162</v>
      </c>
      <c r="X165" s="1">
        <f ca="1">SUMIF(H87:X157,N165,X87:X157)</f>
        <v>23</v>
      </c>
      <c r="Y165" s="3">
        <f t="shared" ca="1" si="120"/>
        <v>0.1419753086419753</v>
      </c>
      <c r="Z165" s="1">
        <f ca="1">SUMIF(H87:Z157,N165,Z87:Z157)</f>
        <v>5</v>
      </c>
      <c r="AA165" s="1">
        <f ca="1">SUMIF(H87:AA157,N165,AA87:AA157)</f>
        <v>23</v>
      </c>
      <c r="AB165" s="1">
        <f ca="1">SUMIF(H87:AB157,N165,AB87:AB157)</f>
        <v>1</v>
      </c>
      <c r="AC165" s="1">
        <f ca="1">SUMIF(H87:AC157,N165,AC87:AC157)</f>
        <v>8</v>
      </c>
      <c r="AD165" s="1">
        <f ca="1">SUMIF(H87:AD157,N165,AD87:AD157)</f>
        <v>37</v>
      </c>
      <c r="AE165" s="3">
        <f t="shared" ca="1" si="121"/>
        <v>0.22839506172839505</v>
      </c>
      <c r="AF165" s="1">
        <f ca="1">SUMIF(H87:AF157,N165,AF87:AF157)</f>
        <v>22</v>
      </c>
      <c r="AG165" s="1">
        <f ca="1">SUMIF(H87:AG157,N165,AG87:AG157)</f>
        <v>0</v>
      </c>
      <c r="AH165" s="1">
        <f ca="1">SUMIF(H87:AH157,N165,AH87:AH157)</f>
        <v>82</v>
      </c>
      <c r="AI165" s="3">
        <f t="shared" ca="1" si="122"/>
        <v>0.64197530864197527</v>
      </c>
      <c r="AJ165" s="1">
        <f ca="1">SUMIF(H87:AJ157,N165,AJ87:AJ157)</f>
        <v>16</v>
      </c>
      <c r="AK165" s="1">
        <f ca="1">SUMIF(H87:AK157,N165,AK87:AK157)</f>
        <v>5</v>
      </c>
      <c r="AL165" s="1">
        <f ca="1">SUMIF(H87:AL157,N165,AL87:AL157)</f>
        <v>0</v>
      </c>
      <c r="AM165" s="3">
        <f t="shared" ca="1" si="123"/>
        <v>0.12962962962962962</v>
      </c>
    </row>
    <row r="166" spans="1:39" x14ac:dyDescent="0.35">
      <c r="J166" t="str">
        <f t="shared" ca="1" si="117"/>
        <v>Jan 2026-RGN-1</v>
      </c>
      <c r="N166" t="s">
        <v>211</v>
      </c>
      <c r="O166" t="str">
        <f t="shared" ca="1" si="118"/>
        <v>RGN-1</v>
      </c>
      <c r="P166">
        <f ca="1">COUNTIFS(T159:T167,T166,Q159:Q167,"&lt;"&amp;Q166)+1</f>
        <v>1</v>
      </c>
      <c r="Q166">
        <f t="shared" ca="1" si="119"/>
        <v>1.07</v>
      </c>
      <c r="R166">
        <f>COUNTIFS(T159:T167,T166,V159:V167,"&lt;"&amp;V166)+1</f>
        <v>7</v>
      </c>
      <c r="S166">
        <f ca="1">COUNTIFS(T159:T167,T166,Y159:Y167,"&gt;"&amp;Y166)+1</f>
        <v>1</v>
      </c>
      <c r="T166" t="s">
        <v>205</v>
      </c>
      <c r="V166" t="s">
        <v>211</v>
      </c>
      <c r="W166" s="1">
        <f ca="1">SUMIF(H87:W157,N166,W87:W157)</f>
        <v>98</v>
      </c>
      <c r="X166" s="1">
        <f ca="1">SUMIF(H87:X157,N166,X87:X157)</f>
        <v>29</v>
      </c>
      <c r="Y166" s="3">
        <f t="shared" ca="1" si="120"/>
        <v>0.29591836734693877</v>
      </c>
      <c r="Z166" s="1">
        <f ca="1">SUMIF(H87:Z157,N166,Z87:Z157)</f>
        <v>3</v>
      </c>
      <c r="AA166" s="1">
        <f ca="1">SUMIF(H87:AA157,N166,AA87:AA157)</f>
        <v>29</v>
      </c>
      <c r="AB166" s="1">
        <f ca="1">SUMIF(H87:AB157,N166,AB87:AB157)</f>
        <v>0</v>
      </c>
      <c r="AC166" s="1">
        <f ca="1">SUMIF(H87:AC157,N166,AC87:AC157)</f>
        <v>7</v>
      </c>
      <c r="AD166" s="1">
        <f ca="1">SUMIF(H87:AD157,N166,AD87:AD157)</f>
        <v>39</v>
      </c>
      <c r="AE166" s="3">
        <f t="shared" ca="1" si="121"/>
        <v>0.39795918367346939</v>
      </c>
      <c r="AF166" s="1">
        <f ca="1">SUMIF(H87:AF157,N166,AF87:AF157)</f>
        <v>19</v>
      </c>
      <c r="AG166" s="1">
        <f ca="1">SUMIF(H87:AG157,N166,AG87:AG157)</f>
        <v>0</v>
      </c>
      <c r="AH166" s="1">
        <f ca="1">SUMIF(H87:AH157,N166,AH87:AH157)</f>
        <v>27</v>
      </c>
      <c r="AI166" s="3">
        <f t="shared" ca="1" si="122"/>
        <v>0.46938775510204084</v>
      </c>
      <c r="AJ166" s="1">
        <f ca="1">SUMIF(H87:AJ157,N166,AJ87:AJ157)</f>
        <v>7</v>
      </c>
      <c r="AK166" s="1">
        <f ca="1">SUMIF(H87:AK157,N166,AK87:AK157)</f>
        <v>6</v>
      </c>
      <c r="AL166" s="1">
        <f ca="1">SUMIF(H87:AL157,N166,AL87:AL157)</f>
        <v>0</v>
      </c>
      <c r="AM166" s="3">
        <f t="shared" ca="1" si="123"/>
        <v>0.1326530612244898</v>
      </c>
    </row>
    <row r="167" spans="1:39" x14ac:dyDescent="0.35">
      <c r="J167" t="str">
        <f t="shared" ca="1" si="117"/>
        <v>Jan 2026-RGN-3</v>
      </c>
      <c r="N167" t="s">
        <v>212</v>
      </c>
      <c r="O167" t="str">
        <f t="shared" ca="1" si="118"/>
        <v>RGN-3</v>
      </c>
      <c r="P167">
        <f ca="1">COUNTIFS(T159:T167,T167,Q159:Q167,"&lt;"&amp;Q167)+1</f>
        <v>3</v>
      </c>
      <c r="Q167">
        <f t="shared" ca="1" si="119"/>
        <v>3.08</v>
      </c>
      <c r="R167">
        <f>COUNTIFS(T159:T167,T167,V159:V167,"&lt;"&amp;V167)+1</f>
        <v>8</v>
      </c>
      <c r="S167">
        <f ca="1">COUNTIFS(T159:T167,T167,Y159:Y167,"&gt;"&amp;Y167)+1</f>
        <v>3</v>
      </c>
      <c r="T167" t="s">
        <v>205</v>
      </c>
      <c r="V167" t="s">
        <v>212</v>
      </c>
      <c r="W167" s="1">
        <f ca="1">SUMIF(H87:W157,N167,W87:W157)</f>
        <v>5</v>
      </c>
      <c r="X167" s="1">
        <f ca="1">SUMIF(H87:X157,N167,X87:X157)</f>
        <v>1</v>
      </c>
      <c r="Y167" s="3">
        <f t="shared" ca="1" si="120"/>
        <v>0.2</v>
      </c>
      <c r="Z167" s="1">
        <f ca="1">SUMIF(H87:Z157,N167,Z87:Z157)</f>
        <v>0</v>
      </c>
      <c r="AA167" s="1">
        <f ca="1">SUMIF(H87:AA157,N167,AA87:AA157)</f>
        <v>1</v>
      </c>
      <c r="AB167" s="1">
        <f ca="1">SUMIF(H87:AB157,N167,AB87:AB157)</f>
        <v>0</v>
      </c>
      <c r="AC167" s="1">
        <f ca="1">SUMIF(H87:AC157,N167,AC87:AC157)</f>
        <v>0</v>
      </c>
      <c r="AD167" s="1">
        <f ca="1">SUMIF(H87:AD157,N167,AD87:AD157)</f>
        <v>1</v>
      </c>
      <c r="AE167" s="3">
        <f t="shared" ca="1" si="121"/>
        <v>0.2</v>
      </c>
      <c r="AF167" s="1">
        <f ca="1">SUMIF(H87:AF157,N167,AF87:AF157)</f>
        <v>3</v>
      </c>
      <c r="AG167" s="1">
        <f ca="1">SUMIF(H87:AG157,N167,AG87:AG157)</f>
        <v>0</v>
      </c>
      <c r="AH167" s="1">
        <f ca="1">SUMIF(H87:AH157,N167,AH87:AH157)</f>
        <v>0</v>
      </c>
      <c r="AI167" s="3">
        <f t="shared" ca="1" si="122"/>
        <v>0.6</v>
      </c>
      <c r="AJ167" s="1">
        <f ca="1">SUMIF(H87:AJ157,N167,AJ87:AJ157)</f>
        <v>0</v>
      </c>
      <c r="AK167" s="1">
        <f ca="1">SUMIF(H87:AK157,N167,AK87:AK157)</f>
        <v>1</v>
      </c>
      <c r="AL167" s="1">
        <f ca="1">SUMIF(H87:AL157,N167,AL87:AL157)</f>
        <v>0</v>
      </c>
      <c r="AM167" s="3">
        <f t="shared" ca="1" si="123"/>
        <v>0.2</v>
      </c>
    </row>
    <row r="170" spans="1:39" ht="16" customHeight="1" x14ac:dyDescent="0.35">
      <c r="A170" s="2"/>
      <c r="B170" s="2"/>
      <c r="C170" s="107" t="str">
        <f>Y1</f>
        <v>Feb 2026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</row>
    <row r="171" spans="1:39" x14ac:dyDescent="0.35">
      <c r="A171" s="2"/>
      <c r="B171" s="2" t="s">
        <v>128</v>
      </c>
      <c r="C171" s="2"/>
      <c r="D171" s="2"/>
      <c r="E171" s="2"/>
      <c r="F171" s="2"/>
      <c r="G171" s="2"/>
      <c r="H171" s="2"/>
      <c r="I171" s="2" t="s">
        <v>129</v>
      </c>
      <c r="J171" s="2"/>
      <c r="K171" s="2"/>
      <c r="L171" s="2"/>
      <c r="M171" s="2"/>
      <c r="N171" s="2"/>
      <c r="O171" s="2" t="s">
        <v>130</v>
      </c>
      <c r="P171" s="2"/>
      <c r="Q171" s="2"/>
      <c r="R171" s="2"/>
      <c r="S171" s="2"/>
      <c r="T171" s="2"/>
      <c r="U171" s="2"/>
      <c r="V171" s="2" t="s">
        <v>100</v>
      </c>
      <c r="W171" s="2" t="s">
        <v>131</v>
      </c>
      <c r="X171" s="2" t="s">
        <v>132</v>
      </c>
      <c r="Y171" s="2" t="s">
        <v>133</v>
      </c>
      <c r="Z171" s="2" t="s">
        <v>134</v>
      </c>
      <c r="AA171" s="2" t="s">
        <v>132</v>
      </c>
      <c r="AB171" s="2" t="s">
        <v>135</v>
      </c>
      <c r="AC171" s="2" t="s">
        <v>136</v>
      </c>
      <c r="AD171" s="2" t="s">
        <v>137</v>
      </c>
      <c r="AE171" s="2" t="s">
        <v>138</v>
      </c>
      <c r="AF171" s="2" t="s">
        <v>139</v>
      </c>
      <c r="AG171" s="2" t="s">
        <v>140</v>
      </c>
      <c r="AH171" s="2" t="s">
        <v>15</v>
      </c>
      <c r="AI171" s="2" t="s">
        <v>141</v>
      </c>
      <c r="AJ171" s="2" t="s">
        <v>142</v>
      </c>
      <c r="AK171" s="2" t="s">
        <v>143</v>
      </c>
      <c r="AL171" s="2" t="s">
        <v>144</v>
      </c>
      <c r="AM171" s="2" t="s">
        <v>145</v>
      </c>
    </row>
    <row r="172" spans="1:39" x14ac:dyDescent="0.35">
      <c r="B172" t="str">
        <f>IF(V172="","",H172&amp;"-"&amp;D172)</f>
        <v>Arizona-5</v>
      </c>
      <c r="C172" t="str">
        <f>IF(V172="","",$W$1&amp;"-"&amp;B172)</f>
        <v>Dec 2025-Arizona-5</v>
      </c>
      <c r="D172">
        <f t="shared" ref="D172:D185" si="124">IF(V172="","",COUNTIFS($H$172:$H$242,H172,$E$172:$E$242,"&lt;"&amp;E172)+1)</f>
        <v>5</v>
      </c>
      <c r="E172">
        <f>IF(V172="","",G172+(F172/100))</f>
        <v>5.01</v>
      </c>
      <c r="F172">
        <f t="shared" ref="F172:F185" si="125">IF(V172="","",COUNTIFS($H$172:$H$242,H172,$V$172:$V$242,"&lt;"&amp;V172)+1)</f>
        <v>1</v>
      </c>
      <c r="G172">
        <f t="shared" ref="G172:G185" si="126">IF(V172="","",COUNTIFS($H$172:$H$242,H172,$Y$172:$Y$242,"&gt;"&amp;Y172)+1)</f>
        <v>5</v>
      </c>
      <c r="H172" t="str">
        <f>IF(V172="","",IFERROR(VLOOKUP(TRIM($V172),KEY!$B$2:$F$72,3,FALSE),""))</f>
        <v>Arizona</v>
      </c>
      <c r="I172" t="str">
        <f>IF(V172="","","WEST-"&amp;K172)</f>
        <v>WEST-24</v>
      </c>
      <c r="J172" t="str">
        <f t="shared" ref="J172:J217" si="127">IF(V172="","",$Y$1&amp;"-"&amp;I172)</f>
        <v>Feb 2026-WEST-24</v>
      </c>
      <c r="K172">
        <f t="shared" ref="K172:K185" si="128">IFERROR(IF(V172="","",RANK(L172,$L$172:$L$242,1)),"-")</f>
        <v>24</v>
      </c>
      <c r="L172">
        <f>IFERROR(IF(V172="","",N172+(M172/100)),"-")</f>
        <v>24.01</v>
      </c>
      <c r="M172">
        <f>IF(V172="","",IFERROR(VLOOKUP(TRIM($V172),KEY!$B$2:$F$72,5,FALSE),""))</f>
        <v>1</v>
      </c>
      <c r="N172">
        <f t="shared" ref="N172:N185" si="129">IFERROR(IF(V172="","",RANK(Y172,$Y$172:$Y$242)),"-")</f>
        <v>24</v>
      </c>
      <c r="O172" t="str">
        <f>IF(V172="","",T172&amp;"-"&amp;P172)</f>
        <v>Acura-1</v>
      </c>
      <c r="P172">
        <f>IF(OR(V172="",Q172=""),"",COUNTIFS($T$4:$T$74,T172,$Q$4:$Q$74,"&lt;"&amp;Q172)+1)</f>
        <v>1</v>
      </c>
      <c r="Q172">
        <f>IF(OR(V172="",W172=0),"",S172+(R172/100))</f>
        <v>1.01</v>
      </c>
      <c r="R172">
        <f t="shared" ref="R172:R185" si="130">IF(V172="","",COUNTIFS($T$172:$T$242,T172,$V$172:$V$242,"&lt;"&amp;V172)+1)</f>
        <v>1</v>
      </c>
      <c r="S172">
        <f t="shared" ref="S172:S185" si="131">IF(V172="","",COUNTIFS($T$172:$T$242,T172,$Y$172:$Y$242,"&gt;"&amp;Y172)+1)</f>
        <v>1</v>
      </c>
      <c r="T172" t="str">
        <f>IF(V172="","",IFERROR(VLOOKUP(TRIM($V172),KEY!$B$2:$F$72,2,FALSE),""))</f>
        <v>Acura</v>
      </c>
      <c r="V172" s="78" t="s">
        <v>146</v>
      </c>
      <c r="W172" s="78">
        <v>10</v>
      </c>
      <c r="X172" s="78">
        <v>0</v>
      </c>
      <c r="Y172" s="78">
        <v>0</v>
      </c>
      <c r="Z172" s="78">
        <v>0</v>
      </c>
      <c r="AA172" s="78">
        <v>0</v>
      </c>
      <c r="AB172" s="78">
        <v>0</v>
      </c>
      <c r="AC172" s="78">
        <v>0</v>
      </c>
      <c r="AD172" s="78">
        <v>0</v>
      </c>
      <c r="AE172" s="78">
        <v>0</v>
      </c>
      <c r="AF172" s="78">
        <v>0</v>
      </c>
      <c r="AG172" s="78">
        <v>0</v>
      </c>
      <c r="AH172" s="78">
        <v>9</v>
      </c>
      <c r="AI172" s="78">
        <v>90</v>
      </c>
      <c r="AJ172" s="78">
        <v>0</v>
      </c>
      <c r="AK172" s="78">
        <v>1</v>
      </c>
      <c r="AL172" s="78">
        <v>0</v>
      </c>
      <c r="AM172" s="78">
        <v>10</v>
      </c>
    </row>
    <row r="173" spans="1:39" x14ac:dyDescent="0.35">
      <c r="B173" t="str">
        <f t="shared" ref="B173:B242" si="132">IF(V173="","",H173&amp;"-"&amp;D173)</f>
        <v>Arizona-13</v>
      </c>
      <c r="C173" t="str">
        <f t="shared" ref="C173:C242" si="133">IF(V173="","",$W$1&amp;"-"&amp;B173)</f>
        <v>Dec 2025-Arizona-13</v>
      </c>
      <c r="D173">
        <f t="shared" si="124"/>
        <v>13</v>
      </c>
      <c r="E173">
        <f t="shared" ref="E173:E242" si="134">IF(V173="","",G173+(F173/100))</f>
        <v>5.13</v>
      </c>
      <c r="F173">
        <f t="shared" si="125"/>
        <v>13</v>
      </c>
      <c r="G173">
        <f t="shared" si="126"/>
        <v>5</v>
      </c>
      <c r="H173" t="str">
        <f>IF(V173="","",IFERROR(VLOOKUP(TRIM($V173),KEY!$B$2:$F$72,3,FALSE),""))</f>
        <v>Arizona</v>
      </c>
      <c r="I173" t="str">
        <f t="shared" ref="I173:I242" si="135">IF(V173="","","WEST-"&amp;K173)</f>
        <v>WEST-52</v>
      </c>
      <c r="J173" t="str">
        <f t="shared" si="127"/>
        <v>Feb 2026-WEST-52</v>
      </c>
      <c r="K173">
        <f t="shared" si="128"/>
        <v>52</v>
      </c>
      <c r="L173">
        <f t="shared" ref="L173:L242" si="136">IFERROR(IF(V173="","",N173+(M173/100)),"-")</f>
        <v>24.57</v>
      </c>
      <c r="M173">
        <f>IF(V173="","",IFERROR(VLOOKUP(TRIM($V173),KEY!$B$2:$F$72,5,FALSE),""))</f>
        <v>57</v>
      </c>
      <c r="N173">
        <f t="shared" si="129"/>
        <v>24</v>
      </c>
      <c r="O173" t="str">
        <f t="shared" ref="O173:O242" si="137">IF(V173="","",T173&amp;"-"&amp;P173)</f>
        <v>Honda-5</v>
      </c>
      <c r="P173">
        <f t="shared" ref="P173:P236" si="138">IF(OR(V173="",Q173=""),"",COUNTIFS($T$4:$T$74,T173,$Q$4:$Q$74,"&lt;"&amp;Q173)+1)</f>
        <v>5</v>
      </c>
      <c r="Q173">
        <f t="shared" ref="Q173:Q236" si="139">IF(OR(V173="",W173=0),"",S173+(R173/100))</f>
        <v>4.07</v>
      </c>
      <c r="R173">
        <f t="shared" si="130"/>
        <v>7</v>
      </c>
      <c r="S173">
        <f t="shared" si="131"/>
        <v>4</v>
      </c>
      <c r="T173" t="str">
        <f>IF(V173="","",IFERROR(VLOOKUP(TRIM($V173),KEY!$B$2:$F$72,2,FALSE),""))</f>
        <v>Honda</v>
      </c>
      <c r="V173" s="78" t="s">
        <v>147</v>
      </c>
      <c r="W173" s="78">
        <v>30</v>
      </c>
      <c r="X173" s="78">
        <v>0</v>
      </c>
      <c r="Y173" s="78">
        <v>0</v>
      </c>
      <c r="Z173" s="78">
        <v>0</v>
      </c>
      <c r="AA173" s="78">
        <v>0</v>
      </c>
      <c r="AB173" s="78">
        <v>0</v>
      </c>
      <c r="AC173" s="78">
        <v>0</v>
      </c>
      <c r="AD173" s="78">
        <v>0</v>
      </c>
      <c r="AE173" s="78">
        <v>0</v>
      </c>
      <c r="AF173" s="78">
        <v>0</v>
      </c>
      <c r="AG173" s="78">
        <v>0</v>
      </c>
      <c r="AH173" s="78">
        <v>30</v>
      </c>
      <c r="AI173" s="78">
        <v>100</v>
      </c>
      <c r="AJ173" s="78">
        <v>0</v>
      </c>
      <c r="AK173" s="78">
        <v>0</v>
      </c>
      <c r="AL173" s="78">
        <v>0</v>
      </c>
      <c r="AM173" s="78">
        <v>0</v>
      </c>
    </row>
    <row r="174" spans="1:39" x14ac:dyDescent="0.35">
      <c r="B174" t="str">
        <f t="shared" si="132"/>
        <v>Arizona-15</v>
      </c>
      <c r="C174" t="str">
        <f t="shared" si="133"/>
        <v>Dec 2025-Arizona-15</v>
      </c>
      <c r="D174">
        <f t="shared" si="124"/>
        <v>15</v>
      </c>
      <c r="E174">
        <f t="shared" si="134"/>
        <v>5.15</v>
      </c>
      <c r="F174">
        <f t="shared" si="125"/>
        <v>15</v>
      </c>
      <c r="G174">
        <f t="shared" si="126"/>
        <v>5</v>
      </c>
      <c r="H174" t="str">
        <f>IF(V174="","",IFERROR(VLOOKUP(TRIM($V174),KEY!$B$2:$F$72,3,FALSE),""))</f>
        <v>Arizona</v>
      </c>
      <c r="I174" t="str">
        <f t="shared" si="135"/>
        <v>WEST-55</v>
      </c>
      <c r="J174" t="str">
        <f t="shared" si="127"/>
        <v>Feb 2026-WEST-55</v>
      </c>
      <c r="K174">
        <f t="shared" si="128"/>
        <v>55</v>
      </c>
      <c r="L174">
        <f t="shared" si="136"/>
        <v>24.61</v>
      </c>
      <c r="M174">
        <f>IF(V174="","",IFERROR(VLOOKUP(TRIM($V174),KEY!$B$2:$F$72,5,FALSE),""))</f>
        <v>61</v>
      </c>
      <c r="N174">
        <f t="shared" si="129"/>
        <v>24</v>
      </c>
      <c r="O174" t="str">
        <f t="shared" si="137"/>
        <v>Volkswagen-2</v>
      </c>
      <c r="P174">
        <f t="shared" si="138"/>
        <v>2</v>
      </c>
      <c r="Q174">
        <f t="shared" si="139"/>
        <v>2.0099999999999998</v>
      </c>
      <c r="R174">
        <f t="shared" si="130"/>
        <v>1</v>
      </c>
      <c r="S174">
        <f t="shared" si="131"/>
        <v>2</v>
      </c>
      <c r="T174" t="str">
        <f>IF(V174="","",IFERROR(VLOOKUP(TRIM($V174),KEY!$B$2:$F$72,2,FALSE),""))</f>
        <v>Volkswagen</v>
      </c>
      <c r="V174" s="78" t="s">
        <v>151</v>
      </c>
      <c r="W174" s="78">
        <v>14</v>
      </c>
      <c r="X174" s="78">
        <v>0</v>
      </c>
      <c r="Y174" s="78">
        <v>0</v>
      </c>
      <c r="Z174" s="78">
        <v>0</v>
      </c>
      <c r="AA174" s="78">
        <v>0</v>
      </c>
      <c r="AB174" s="78">
        <v>0</v>
      </c>
      <c r="AC174" s="78">
        <v>0</v>
      </c>
      <c r="AD174" s="78">
        <v>0</v>
      </c>
      <c r="AE174" s="78">
        <v>0</v>
      </c>
      <c r="AF174" s="78">
        <v>0</v>
      </c>
      <c r="AG174" s="78">
        <v>0</v>
      </c>
      <c r="AH174" s="78">
        <v>14</v>
      </c>
      <c r="AI174" s="78">
        <v>100</v>
      </c>
      <c r="AJ174" s="78">
        <v>0</v>
      </c>
      <c r="AK174" s="78">
        <v>0</v>
      </c>
      <c r="AL174" s="78">
        <v>0</v>
      </c>
      <c r="AM174" s="78">
        <v>0</v>
      </c>
    </row>
    <row r="175" spans="1:39" x14ac:dyDescent="0.35">
      <c r="B175" t="str">
        <f t="shared" si="132"/>
        <v>Arizona-14</v>
      </c>
      <c r="C175" t="str">
        <f t="shared" si="133"/>
        <v>Dec 2025-Arizona-14</v>
      </c>
      <c r="D175">
        <f t="shared" si="124"/>
        <v>14</v>
      </c>
      <c r="E175">
        <f t="shared" si="134"/>
        <v>5.14</v>
      </c>
      <c r="F175">
        <f t="shared" si="125"/>
        <v>14</v>
      </c>
      <c r="G175">
        <f t="shared" si="126"/>
        <v>5</v>
      </c>
      <c r="H175" t="str">
        <f>IF(V175="","",IFERROR(VLOOKUP(TRIM($V175),KEY!$B$2:$F$72,3,FALSE),""))</f>
        <v>Arizona</v>
      </c>
      <c r="I175" t="str">
        <f t="shared" si="135"/>
        <v>WEST-54</v>
      </c>
      <c r="J175" t="str">
        <f t="shared" si="127"/>
        <v>Feb 2026-WEST-54</v>
      </c>
      <c r="K175">
        <f t="shared" si="128"/>
        <v>54</v>
      </c>
      <c r="L175">
        <f t="shared" si="136"/>
        <v>24.6</v>
      </c>
      <c r="M175">
        <f>IF(V175="","",IFERROR(VLOOKUP(TRIM($V175),KEY!$B$2:$F$72,5,FALSE),""))</f>
        <v>60</v>
      </c>
      <c r="N175">
        <f t="shared" si="129"/>
        <v>24</v>
      </c>
      <c r="O175" t="str">
        <f t="shared" si="137"/>
        <v>Toyota-4</v>
      </c>
      <c r="P175">
        <f t="shared" si="138"/>
        <v>4</v>
      </c>
      <c r="Q175">
        <f t="shared" si="139"/>
        <v>3.05</v>
      </c>
      <c r="R175">
        <f t="shared" si="130"/>
        <v>5</v>
      </c>
      <c r="S175">
        <f t="shared" si="131"/>
        <v>3</v>
      </c>
      <c r="T175" t="str">
        <f>IF(V175="","",IFERROR(VLOOKUP(TRIM($V175),KEY!$B$2:$F$72,2,FALSE),""))</f>
        <v>Toyota</v>
      </c>
      <c r="V175" s="78" t="s">
        <v>149</v>
      </c>
      <c r="W175" s="78">
        <v>6</v>
      </c>
      <c r="X175" s="78">
        <v>0</v>
      </c>
      <c r="Y175" s="78">
        <v>0</v>
      </c>
      <c r="Z175" s="78">
        <v>0</v>
      </c>
      <c r="AA175" s="78">
        <v>0</v>
      </c>
      <c r="AB175" s="78">
        <v>0</v>
      </c>
      <c r="AC175" s="78">
        <v>0</v>
      </c>
      <c r="AD175" s="78">
        <v>0</v>
      </c>
      <c r="AE175" s="78">
        <v>0</v>
      </c>
      <c r="AF175" s="78">
        <v>0</v>
      </c>
      <c r="AG175" s="78">
        <v>0</v>
      </c>
      <c r="AH175" s="78">
        <v>6</v>
      </c>
      <c r="AI175" s="78">
        <v>100</v>
      </c>
      <c r="AJ175" s="78">
        <v>0</v>
      </c>
      <c r="AK175" s="78">
        <v>0</v>
      </c>
      <c r="AL175" s="78">
        <v>0</v>
      </c>
      <c r="AM175" s="78">
        <v>0</v>
      </c>
    </row>
    <row r="176" spans="1:39" x14ac:dyDescent="0.35">
      <c r="B176" t="str">
        <f t="shared" si="132"/>
        <v>Arizona-8</v>
      </c>
      <c r="C176" t="str">
        <f t="shared" si="133"/>
        <v>Dec 2025-Arizona-8</v>
      </c>
      <c r="D176">
        <f t="shared" si="124"/>
        <v>8</v>
      </c>
      <c r="E176">
        <f t="shared" si="134"/>
        <v>5.04</v>
      </c>
      <c r="F176">
        <f t="shared" si="125"/>
        <v>4</v>
      </c>
      <c r="G176">
        <f t="shared" si="126"/>
        <v>5</v>
      </c>
      <c r="H176" t="str">
        <f>IF(V176="","",IFERROR(VLOOKUP(TRIM($V176),KEY!$B$2:$F$72,3,FALSE),""))</f>
        <v>Arizona</v>
      </c>
      <c r="I176" t="str">
        <f t="shared" si="135"/>
        <v>WEST-29</v>
      </c>
      <c r="J176" t="str">
        <f t="shared" si="127"/>
        <v>Feb 2026-WEST-29</v>
      </c>
      <c r="K176">
        <f t="shared" si="128"/>
        <v>29</v>
      </c>
      <c r="L176">
        <f t="shared" si="136"/>
        <v>24.11</v>
      </c>
      <c r="M176">
        <f>IF(V176="","",IFERROR(VLOOKUP(TRIM($V176),KEY!$B$2:$F$72,5,FALSE),""))</f>
        <v>11</v>
      </c>
      <c r="N176">
        <f t="shared" si="129"/>
        <v>24</v>
      </c>
      <c r="O176" t="str">
        <f t="shared" si="137"/>
        <v>BMW-6</v>
      </c>
      <c r="P176">
        <f t="shared" si="138"/>
        <v>6</v>
      </c>
      <c r="Q176">
        <f t="shared" si="139"/>
        <v>6.01</v>
      </c>
      <c r="R176">
        <f t="shared" si="130"/>
        <v>1</v>
      </c>
      <c r="S176">
        <f t="shared" si="131"/>
        <v>6</v>
      </c>
      <c r="T176" t="str">
        <f>IF(V176="","",IFERROR(VLOOKUP(TRIM($V176),KEY!$B$2:$F$72,2,FALSE),""))</f>
        <v>BMW</v>
      </c>
      <c r="V176" s="78" t="s">
        <v>150</v>
      </c>
      <c r="W176" s="78">
        <v>35</v>
      </c>
      <c r="X176" s="78">
        <v>0</v>
      </c>
      <c r="Y176" s="78">
        <v>0</v>
      </c>
      <c r="Z176" s="78">
        <v>0</v>
      </c>
      <c r="AA176" s="78">
        <v>0</v>
      </c>
      <c r="AB176" s="78">
        <v>0</v>
      </c>
      <c r="AC176" s="78">
        <v>0</v>
      </c>
      <c r="AD176" s="78">
        <v>0</v>
      </c>
      <c r="AE176" s="78">
        <v>0</v>
      </c>
      <c r="AF176" s="78">
        <v>0</v>
      </c>
      <c r="AG176" s="78">
        <v>0</v>
      </c>
      <c r="AH176" s="78">
        <v>35</v>
      </c>
      <c r="AI176" s="78">
        <v>100</v>
      </c>
      <c r="AJ176" s="78">
        <v>0</v>
      </c>
      <c r="AK176" s="78">
        <v>0</v>
      </c>
      <c r="AL176" s="78">
        <v>0</v>
      </c>
      <c r="AM176" s="78">
        <v>0</v>
      </c>
    </row>
    <row r="177" spans="2:39" x14ac:dyDescent="0.35">
      <c r="B177" t="str">
        <f t="shared" si="132"/>
        <v>Arizona-3</v>
      </c>
      <c r="C177" t="str">
        <f t="shared" si="133"/>
        <v>Dec 2025-Arizona-3</v>
      </c>
      <c r="D177">
        <f t="shared" si="124"/>
        <v>3</v>
      </c>
      <c r="E177">
        <f t="shared" si="134"/>
        <v>3.07</v>
      </c>
      <c r="F177">
        <f t="shared" si="125"/>
        <v>7</v>
      </c>
      <c r="G177">
        <f t="shared" si="126"/>
        <v>3</v>
      </c>
      <c r="H177" t="str">
        <f>IF(V177="","",IFERROR(VLOOKUP(TRIM($V177),KEY!$B$2:$F$72,3,FALSE),""))</f>
        <v>Arizona</v>
      </c>
      <c r="I177" t="str">
        <f t="shared" si="135"/>
        <v>WEST-8</v>
      </c>
      <c r="J177" t="str">
        <f t="shared" si="127"/>
        <v>Feb 2026-WEST-8</v>
      </c>
      <c r="K177">
        <f>IFERROR(IF(V177="","",RANK(L177,$L$172:$L$242,1)),"-")</f>
        <v>8</v>
      </c>
      <c r="L177">
        <f t="shared" si="136"/>
        <v>7.36</v>
      </c>
      <c r="M177">
        <f>IF(V177="","",IFERROR(VLOOKUP(TRIM($V177),KEY!$B$2:$F$72,5,FALSE),""))</f>
        <v>36</v>
      </c>
      <c r="N177">
        <f t="shared" si="129"/>
        <v>7</v>
      </c>
      <c r="O177" t="str">
        <f t="shared" si="137"/>
        <v>Mercedes-Benz-1</v>
      </c>
      <c r="P177">
        <f t="shared" si="138"/>
        <v>1</v>
      </c>
      <c r="Q177">
        <f t="shared" si="139"/>
        <v>1.01</v>
      </c>
      <c r="R177">
        <f t="shared" si="130"/>
        <v>1</v>
      </c>
      <c r="S177">
        <f t="shared" si="131"/>
        <v>1</v>
      </c>
      <c r="T177" t="str">
        <f>IF(V177="","",IFERROR(VLOOKUP(TRIM($V177),KEY!$B$2:$F$72,2,FALSE),""))</f>
        <v>Mercedes-Benz</v>
      </c>
      <c r="V177" s="78" t="s">
        <v>152</v>
      </c>
      <c r="W177" s="78">
        <v>6</v>
      </c>
      <c r="X177" s="78">
        <v>2</v>
      </c>
      <c r="Y177" s="78">
        <v>33</v>
      </c>
      <c r="Z177" s="78">
        <v>1</v>
      </c>
      <c r="AA177" s="78">
        <v>2</v>
      </c>
      <c r="AB177" s="78">
        <v>0</v>
      </c>
      <c r="AC177" s="78">
        <v>0</v>
      </c>
      <c r="AD177" s="78">
        <v>3</v>
      </c>
      <c r="AE177" s="78">
        <v>50</v>
      </c>
      <c r="AF177" s="78">
        <v>3</v>
      </c>
      <c r="AG177" s="78">
        <v>0</v>
      </c>
      <c r="AH177" s="78">
        <v>0</v>
      </c>
      <c r="AI177" s="78">
        <v>50</v>
      </c>
      <c r="AJ177" s="78">
        <v>0</v>
      </c>
      <c r="AK177" s="78">
        <v>0</v>
      </c>
      <c r="AL177" s="78">
        <v>0</v>
      </c>
      <c r="AM177" s="78">
        <v>0</v>
      </c>
    </row>
    <row r="178" spans="2:39" x14ac:dyDescent="0.35">
      <c r="B178" t="str">
        <f t="shared" si="132"/>
        <v>Arizona-4</v>
      </c>
      <c r="C178" t="str">
        <f t="shared" si="133"/>
        <v>Dec 2025-Arizona-4</v>
      </c>
      <c r="D178">
        <f t="shared" si="124"/>
        <v>4</v>
      </c>
      <c r="E178">
        <f t="shared" si="134"/>
        <v>4.08</v>
      </c>
      <c r="F178">
        <f t="shared" si="125"/>
        <v>8</v>
      </c>
      <c r="G178">
        <f t="shared" si="126"/>
        <v>4</v>
      </c>
      <c r="H178" t="str">
        <f>IF(V178="","",IFERROR(VLOOKUP(TRIM($V178),KEY!$B$2:$F$72,3,FALSE),""))</f>
        <v>Arizona</v>
      </c>
      <c r="I178" t="str">
        <f t="shared" si="135"/>
        <v>WEST-18</v>
      </c>
      <c r="J178" t="str">
        <f t="shared" si="127"/>
        <v>Feb 2026-WEST-18</v>
      </c>
      <c r="K178">
        <f t="shared" si="128"/>
        <v>18</v>
      </c>
      <c r="L178">
        <f t="shared" si="136"/>
        <v>18.37</v>
      </c>
      <c r="M178">
        <f>IF(V178="","",IFERROR(VLOOKUP(TRIM($V178),KEY!$B$2:$F$72,5,FALSE),""))</f>
        <v>37</v>
      </c>
      <c r="N178">
        <f t="shared" si="129"/>
        <v>18</v>
      </c>
      <c r="O178" t="str">
        <f t="shared" si="137"/>
        <v>Mercedes-Benz-4</v>
      </c>
      <c r="P178">
        <f t="shared" si="138"/>
        <v>4</v>
      </c>
      <c r="Q178">
        <f t="shared" si="139"/>
        <v>3.02</v>
      </c>
      <c r="R178">
        <f t="shared" si="130"/>
        <v>2</v>
      </c>
      <c r="S178">
        <f t="shared" si="131"/>
        <v>3</v>
      </c>
      <c r="T178" t="str">
        <f>IF(V178="","",IFERROR(VLOOKUP(TRIM($V178),KEY!$B$2:$F$72,2,FALSE),""))</f>
        <v>Mercedes-Benz</v>
      </c>
      <c r="V178" s="78" t="s">
        <v>153</v>
      </c>
      <c r="W178" s="78">
        <v>8</v>
      </c>
      <c r="X178" s="78">
        <v>1</v>
      </c>
      <c r="Y178" s="78">
        <v>13</v>
      </c>
      <c r="Z178" s="78">
        <v>0</v>
      </c>
      <c r="AA178" s="78">
        <v>1</v>
      </c>
      <c r="AB178" s="78">
        <v>0</v>
      </c>
      <c r="AC178" s="78">
        <v>0</v>
      </c>
      <c r="AD178" s="78">
        <v>1</v>
      </c>
      <c r="AE178" s="78">
        <v>13</v>
      </c>
      <c r="AF178" s="78">
        <v>3</v>
      </c>
      <c r="AG178" s="78">
        <v>0</v>
      </c>
      <c r="AH178" s="78">
        <v>2</v>
      </c>
      <c r="AI178" s="78">
        <v>63</v>
      </c>
      <c r="AJ178" s="78">
        <v>0</v>
      </c>
      <c r="AK178" s="78">
        <v>2</v>
      </c>
      <c r="AL178" s="78">
        <v>0</v>
      </c>
      <c r="AM178" s="78">
        <v>25</v>
      </c>
    </row>
    <row r="179" spans="2:39" x14ac:dyDescent="0.35">
      <c r="B179" t="str">
        <f t="shared" si="132"/>
        <v>Arizona-2</v>
      </c>
      <c r="C179" t="str">
        <f t="shared" si="133"/>
        <v>Dec 2025-Arizona-2</v>
      </c>
      <c r="D179">
        <f t="shared" si="124"/>
        <v>2</v>
      </c>
      <c r="E179">
        <f t="shared" si="134"/>
        <v>2.06</v>
      </c>
      <c r="F179">
        <f t="shared" si="125"/>
        <v>6</v>
      </c>
      <c r="G179">
        <f t="shared" si="126"/>
        <v>2</v>
      </c>
      <c r="H179" t="str">
        <f>IF(V179="","",IFERROR(VLOOKUP(TRIM($V179),KEY!$B$2:$F$72,3,FALSE),""))</f>
        <v>Arizona</v>
      </c>
      <c r="I179" t="str">
        <f t="shared" si="135"/>
        <v>WEST-3</v>
      </c>
      <c r="J179" t="str">
        <f t="shared" si="127"/>
        <v>Feb 2026-WEST-3</v>
      </c>
      <c r="K179">
        <f t="shared" si="128"/>
        <v>3</v>
      </c>
      <c r="L179">
        <f t="shared" si="136"/>
        <v>2.29</v>
      </c>
      <c r="M179">
        <f>IF(V179="","",IFERROR(VLOOKUP(TRIM($V179),KEY!$B$2:$F$72,5,FALSE),""))</f>
        <v>29</v>
      </c>
      <c r="N179">
        <f t="shared" si="129"/>
        <v>2</v>
      </c>
      <c r="O179" t="str">
        <f t="shared" si="137"/>
        <v>LR-1</v>
      </c>
      <c r="P179">
        <f t="shared" si="138"/>
        <v>1</v>
      </c>
      <c r="Q179">
        <f t="shared" si="139"/>
        <v>1.01</v>
      </c>
      <c r="R179">
        <f t="shared" si="130"/>
        <v>1</v>
      </c>
      <c r="S179">
        <f t="shared" si="131"/>
        <v>1</v>
      </c>
      <c r="T179" t="str">
        <f>IF(V179="","",IFERROR(VLOOKUP(TRIM($V179),KEY!$B$2:$F$72,2,FALSE),""))</f>
        <v>LR</v>
      </c>
      <c r="V179" s="78" t="s">
        <v>154</v>
      </c>
      <c r="W179" s="78">
        <v>2</v>
      </c>
      <c r="X179" s="78">
        <v>1</v>
      </c>
      <c r="Y179" s="78">
        <v>50</v>
      </c>
      <c r="Z179" s="78">
        <v>0</v>
      </c>
      <c r="AA179" s="78">
        <v>1</v>
      </c>
      <c r="AB179" s="78">
        <v>0</v>
      </c>
      <c r="AC179" s="78">
        <v>0</v>
      </c>
      <c r="AD179" s="78">
        <v>1</v>
      </c>
      <c r="AE179" s="78">
        <v>50</v>
      </c>
      <c r="AF179" s="78">
        <v>1</v>
      </c>
      <c r="AG179" s="78">
        <v>0</v>
      </c>
      <c r="AH179" s="78">
        <v>0</v>
      </c>
      <c r="AI179" s="78">
        <v>50</v>
      </c>
      <c r="AJ179" s="78">
        <v>0</v>
      </c>
      <c r="AK179" s="78">
        <v>0</v>
      </c>
      <c r="AL179" s="78">
        <v>0</v>
      </c>
      <c r="AM179" s="78">
        <v>0</v>
      </c>
    </row>
    <row r="180" spans="2:39" x14ac:dyDescent="0.35">
      <c r="B180" t="str">
        <f t="shared" si="132"/>
        <v>Arizona-7</v>
      </c>
      <c r="C180" t="str">
        <f t="shared" si="133"/>
        <v>Dec 2025-Arizona-7</v>
      </c>
      <c r="D180">
        <f t="shared" si="124"/>
        <v>7</v>
      </c>
      <c r="E180">
        <f t="shared" si="134"/>
        <v>5.03</v>
      </c>
      <c r="F180">
        <f t="shared" si="125"/>
        <v>3</v>
      </c>
      <c r="G180">
        <f t="shared" si="126"/>
        <v>5</v>
      </c>
      <c r="H180" t="str">
        <f>IF(V180="","",IFERROR(VLOOKUP(TRIM($V180),KEY!$B$2:$F$72,3,FALSE),""))</f>
        <v>Arizona</v>
      </c>
      <c r="I180" t="str">
        <f t="shared" si="135"/>
        <v>WEST-28</v>
      </c>
      <c r="J180" t="str">
        <f t="shared" si="127"/>
        <v>Feb 2026-WEST-28</v>
      </c>
      <c r="K180">
        <f t="shared" si="128"/>
        <v>28</v>
      </c>
      <c r="L180">
        <f t="shared" si="136"/>
        <v>24.06</v>
      </c>
      <c r="M180">
        <f>IF(V180="","",IFERROR(VLOOKUP(TRIM($V180),KEY!$B$2:$F$72,5,FALSE),""))</f>
        <v>6</v>
      </c>
      <c r="N180">
        <f t="shared" si="129"/>
        <v>24</v>
      </c>
      <c r="O180" t="str">
        <f t="shared" si="137"/>
        <v>Audi-4</v>
      </c>
      <c r="P180">
        <f t="shared" si="138"/>
        <v>4</v>
      </c>
      <c r="Q180">
        <f t="shared" si="139"/>
        <v>4.04</v>
      </c>
      <c r="R180">
        <f t="shared" si="130"/>
        <v>4</v>
      </c>
      <c r="S180">
        <f t="shared" si="131"/>
        <v>4</v>
      </c>
      <c r="T180" t="str">
        <f>IF(V180="","",IFERROR(VLOOKUP(TRIM($V180),KEY!$B$2:$F$72,2,FALSE),""))</f>
        <v>Audi</v>
      </c>
      <c r="V180" s="78" t="s">
        <v>157</v>
      </c>
      <c r="W180" s="78">
        <v>28</v>
      </c>
      <c r="X180" s="78">
        <v>0</v>
      </c>
      <c r="Y180" s="78">
        <v>0</v>
      </c>
      <c r="Z180" s="78">
        <v>0</v>
      </c>
      <c r="AA180" s="78">
        <v>0</v>
      </c>
      <c r="AB180" s="78">
        <v>0</v>
      </c>
      <c r="AC180" s="78">
        <v>0</v>
      </c>
      <c r="AD180" s="78">
        <v>0</v>
      </c>
      <c r="AE180" s="78">
        <v>0</v>
      </c>
      <c r="AF180" s="78">
        <v>0</v>
      </c>
      <c r="AG180" s="78">
        <v>0</v>
      </c>
      <c r="AH180" s="78">
        <v>28</v>
      </c>
      <c r="AI180" s="78">
        <v>100</v>
      </c>
      <c r="AJ180" s="78">
        <v>0</v>
      </c>
      <c r="AK180" s="78">
        <v>0</v>
      </c>
      <c r="AL180" s="78">
        <v>0</v>
      </c>
      <c r="AM180" s="78">
        <v>0</v>
      </c>
    </row>
    <row r="181" spans="2:39" x14ac:dyDescent="0.35">
      <c r="B181" t="str">
        <f t="shared" si="132"/>
        <v>Arizona-6</v>
      </c>
      <c r="C181" t="str">
        <f t="shared" si="133"/>
        <v>Dec 2025-Arizona-6</v>
      </c>
      <c r="D181">
        <f t="shared" si="124"/>
        <v>6</v>
      </c>
      <c r="E181">
        <f t="shared" si="134"/>
        <v>5.0199999999999996</v>
      </c>
      <c r="F181">
        <f t="shared" si="125"/>
        <v>2</v>
      </c>
      <c r="G181">
        <f t="shared" si="126"/>
        <v>5</v>
      </c>
      <c r="H181" t="str">
        <f>IF(V181="","",IFERROR(VLOOKUP(TRIM($V181),KEY!$B$2:$F$72,3,FALSE),""))</f>
        <v>Arizona</v>
      </c>
      <c r="I181" t="str">
        <f t="shared" si="135"/>
        <v>WEST-26</v>
      </c>
      <c r="J181" t="str">
        <f t="shared" si="127"/>
        <v>Feb 2026-WEST-26</v>
      </c>
      <c r="K181">
        <f t="shared" si="128"/>
        <v>26</v>
      </c>
      <c r="L181">
        <f t="shared" si="136"/>
        <v>24.03</v>
      </c>
      <c r="M181">
        <f>IF(V181="","",IFERROR(VLOOKUP(TRIM($V181),KEY!$B$2:$F$72,5,FALSE),""))</f>
        <v>3</v>
      </c>
      <c r="N181">
        <f t="shared" si="129"/>
        <v>24</v>
      </c>
      <c r="O181" t="str">
        <f t="shared" si="137"/>
        <v>Audi-4</v>
      </c>
      <c r="P181">
        <f t="shared" si="138"/>
        <v>4</v>
      </c>
      <c r="Q181">
        <f t="shared" si="139"/>
        <v>4.01</v>
      </c>
      <c r="R181">
        <f t="shared" si="130"/>
        <v>1</v>
      </c>
      <c r="S181">
        <f t="shared" si="131"/>
        <v>4</v>
      </c>
      <c r="T181" t="str">
        <f>IF(V181="","",IFERROR(VLOOKUP(TRIM($V181),KEY!$B$2:$F$72,2,FALSE),""))</f>
        <v>Audi</v>
      </c>
      <c r="V181" s="78" t="s">
        <v>158</v>
      </c>
      <c r="W181" s="78">
        <v>12</v>
      </c>
      <c r="X181" s="78">
        <v>0</v>
      </c>
      <c r="Y181" s="78">
        <v>0</v>
      </c>
      <c r="Z181" s="78">
        <v>1</v>
      </c>
      <c r="AA181" s="78">
        <v>0</v>
      </c>
      <c r="AB181" s="78">
        <v>0</v>
      </c>
      <c r="AC181" s="78">
        <v>0</v>
      </c>
      <c r="AD181" s="78">
        <v>1</v>
      </c>
      <c r="AE181" s="78">
        <v>8</v>
      </c>
      <c r="AF181" s="78">
        <v>0</v>
      </c>
      <c r="AG181" s="78">
        <v>0</v>
      </c>
      <c r="AH181" s="78">
        <v>9</v>
      </c>
      <c r="AI181" s="78">
        <v>75</v>
      </c>
      <c r="AJ181" s="78">
        <v>0</v>
      </c>
      <c r="AK181" s="78">
        <v>2</v>
      </c>
      <c r="AL181" s="78">
        <v>0</v>
      </c>
      <c r="AM181" s="78">
        <v>17</v>
      </c>
    </row>
    <row r="182" spans="2:39" x14ac:dyDescent="0.35">
      <c r="B182" t="str">
        <f t="shared" si="132"/>
        <v>Arizona-1</v>
      </c>
      <c r="C182" t="str">
        <f t="shared" si="133"/>
        <v>Dec 2025-Arizona-1</v>
      </c>
      <c r="D182">
        <f>IF(V182="","",COUNTIFS($H$172:$H$242,H182,$E$172:$E$242,"&lt;"&amp;E182)+1)</f>
        <v>1</v>
      </c>
      <c r="E182">
        <f t="shared" si="134"/>
        <v>1.0900000000000001</v>
      </c>
      <c r="F182">
        <f>IF(V182="","",COUNTIFS($H$172:$H$242,H182,$V$172:$V$242,"&lt;"&amp;V182)+1)</f>
        <v>9</v>
      </c>
      <c r="G182">
        <f t="shared" si="126"/>
        <v>1</v>
      </c>
      <c r="H182" t="str">
        <f>IF(V182="","",IFERROR(VLOOKUP(TRIM($V182),KEY!$B$2:$F$72,3,FALSE),""))</f>
        <v>Arizona</v>
      </c>
      <c r="I182" t="str">
        <f t="shared" si="135"/>
        <v>WEST-1</v>
      </c>
      <c r="J182" t="str">
        <f t="shared" si="127"/>
        <v>Feb 2026-WEST-1</v>
      </c>
      <c r="K182">
        <f t="shared" si="128"/>
        <v>1</v>
      </c>
      <c r="L182">
        <f t="shared" si="136"/>
        <v>1.3900000000000001</v>
      </c>
      <c r="M182">
        <f>IF(V182="","",IFERROR(VLOOKUP(TRIM($V182),KEY!$B$2:$F$72,5,FALSE),""))</f>
        <v>39</v>
      </c>
      <c r="N182">
        <f t="shared" si="129"/>
        <v>1</v>
      </c>
      <c r="O182" t="str">
        <f t="shared" si="137"/>
        <v>MINI-1</v>
      </c>
      <c r="P182">
        <f t="shared" si="138"/>
        <v>1</v>
      </c>
      <c r="Q182">
        <f t="shared" si="139"/>
        <v>1.02</v>
      </c>
      <c r="R182">
        <f t="shared" si="130"/>
        <v>2</v>
      </c>
      <c r="S182">
        <f>IF(V182="","",COUNTIFS($T$172:$T$242,T182,$Y$172:$Y$242,"&gt;"&amp;Y182)+1)</f>
        <v>1</v>
      </c>
      <c r="T182" t="str">
        <f>IF(V182="","",IFERROR(VLOOKUP(TRIM($V182),KEY!$B$2:$F$72,2,FALSE),""))</f>
        <v>MINI</v>
      </c>
      <c r="V182" s="78" t="s">
        <v>160</v>
      </c>
      <c r="W182" s="78">
        <v>1</v>
      </c>
      <c r="X182" s="78">
        <v>1</v>
      </c>
      <c r="Y182" s="78">
        <v>100</v>
      </c>
      <c r="Z182" s="78">
        <v>0</v>
      </c>
      <c r="AA182" s="78">
        <v>1</v>
      </c>
      <c r="AB182" s="78">
        <v>0</v>
      </c>
      <c r="AC182" s="78">
        <v>0</v>
      </c>
      <c r="AD182" s="78">
        <v>1</v>
      </c>
      <c r="AE182" s="78">
        <v>100</v>
      </c>
      <c r="AF182" s="78">
        <v>0</v>
      </c>
      <c r="AG182" s="78">
        <v>0</v>
      </c>
      <c r="AH182" s="78">
        <v>0</v>
      </c>
      <c r="AI182" s="78">
        <v>0</v>
      </c>
      <c r="AJ182" s="78">
        <v>0</v>
      </c>
      <c r="AK182" s="78">
        <v>0</v>
      </c>
      <c r="AL182" s="78">
        <v>0</v>
      </c>
      <c r="AM182" s="78">
        <v>0</v>
      </c>
    </row>
    <row r="183" spans="2:39" x14ac:dyDescent="0.35">
      <c r="B183" t="str">
        <f t="shared" si="132"/>
        <v>Arizona-10</v>
      </c>
      <c r="C183" t="str">
        <f t="shared" si="133"/>
        <v>Dec 2025-Arizona-10</v>
      </c>
      <c r="D183">
        <f t="shared" si="124"/>
        <v>10</v>
      </c>
      <c r="E183">
        <f t="shared" si="134"/>
        <v>5.0999999999999996</v>
      </c>
      <c r="F183">
        <f t="shared" si="125"/>
        <v>10</v>
      </c>
      <c r="G183">
        <f t="shared" si="126"/>
        <v>5</v>
      </c>
      <c r="H183" t="str">
        <f>IF(V183="","",IFERROR(VLOOKUP(TRIM($V183),KEY!$B$2:$F$72,3,FALSE),""))</f>
        <v>Arizona</v>
      </c>
      <c r="I183" t="str">
        <f t="shared" si="135"/>
        <v>WEST-43</v>
      </c>
      <c r="J183" t="str">
        <f t="shared" si="127"/>
        <v>Feb 2026-WEST-43</v>
      </c>
      <c r="K183">
        <f t="shared" si="128"/>
        <v>43</v>
      </c>
      <c r="L183">
        <f t="shared" si="136"/>
        <v>24.44</v>
      </c>
      <c r="M183">
        <f>IF(V183="","",IFERROR(VLOOKUP(TRIM($V183),KEY!$B$2:$F$72,5,FALSE),""))</f>
        <v>44</v>
      </c>
      <c r="N183">
        <f t="shared" si="129"/>
        <v>24</v>
      </c>
      <c r="O183" t="str">
        <f t="shared" si="137"/>
        <v>MINI-3</v>
      </c>
      <c r="P183">
        <f t="shared" si="138"/>
        <v>3</v>
      </c>
      <c r="Q183">
        <f t="shared" si="139"/>
        <v>2.06</v>
      </c>
      <c r="R183">
        <f t="shared" si="130"/>
        <v>6</v>
      </c>
      <c r="S183">
        <f t="shared" si="131"/>
        <v>2</v>
      </c>
      <c r="T183" t="str">
        <f>IF(V183="","",IFERROR(VLOOKUP(TRIM($V183),KEY!$B$2:$F$72,2,FALSE),""))</f>
        <v>MINI</v>
      </c>
      <c r="V183" s="78" t="s">
        <v>159</v>
      </c>
      <c r="W183" s="78">
        <v>1</v>
      </c>
      <c r="X183" s="78">
        <v>0</v>
      </c>
      <c r="Y183" s="78">
        <v>0</v>
      </c>
      <c r="Z183" s="78">
        <v>0</v>
      </c>
      <c r="AA183" s="78">
        <v>0</v>
      </c>
      <c r="AB183" s="78">
        <v>0</v>
      </c>
      <c r="AC183" s="78">
        <v>1</v>
      </c>
      <c r="AD183" s="78">
        <v>1</v>
      </c>
      <c r="AE183" s="78">
        <v>100</v>
      </c>
      <c r="AF183" s="78">
        <v>0</v>
      </c>
      <c r="AG183" s="78">
        <v>0</v>
      </c>
      <c r="AH183" s="78">
        <v>0</v>
      </c>
      <c r="AI183" s="78">
        <v>0</v>
      </c>
      <c r="AJ183" s="78">
        <v>0</v>
      </c>
      <c r="AK183" s="78">
        <v>0</v>
      </c>
      <c r="AL183" s="78">
        <v>0</v>
      </c>
      <c r="AM183" s="78">
        <v>0</v>
      </c>
    </row>
    <row r="184" spans="2:39" x14ac:dyDescent="0.35">
      <c r="B184" t="str">
        <f t="shared" si="132"/>
        <v>Arizona-11</v>
      </c>
      <c r="C184" t="str">
        <f t="shared" si="133"/>
        <v>Dec 2025-Arizona-11</v>
      </c>
      <c r="D184">
        <f t="shared" si="124"/>
        <v>11</v>
      </c>
      <c r="E184">
        <f t="shared" si="134"/>
        <v>5.1100000000000003</v>
      </c>
      <c r="F184">
        <f t="shared" si="125"/>
        <v>11</v>
      </c>
      <c r="G184">
        <f t="shared" si="126"/>
        <v>5</v>
      </c>
      <c r="H184" t="str">
        <f>IF(V184="","",IFERROR(VLOOKUP(TRIM($V184),KEY!$B$2:$F$72,3,FALSE),""))</f>
        <v>Arizona</v>
      </c>
      <c r="I184" t="str">
        <f t="shared" si="135"/>
        <v>WEST-46</v>
      </c>
      <c r="J184" t="str">
        <f t="shared" si="127"/>
        <v>Feb 2026-WEST-46</v>
      </c>
      <c r="K184">
        <f t="shared" si="128"/>
        <v>46</v>
      </c>
      <c r="L184">
        <f t="shared" si="136"/>
        <v>24.5</v>
      </c>
      <c r="M184">
        <f>IF(V184="","",IFERROR(VLOOKUP(TRIM($V184),KEY!$B$2:$F$72,5,FALSE),""))</f>
        <v>50</v>
      </c>
      <c r="N184">
        <f t="shared" si="129"/>
        <v>24</v>
      </c>
      <c r="O184" t="str">
        <f t="shared" si="137"/>
        <v>Porsche-1</v>
      </c>
      <c r="P184">
        <f t="shared" si="138"/>
        <v>1</v>
      </c>
      <c r="Q184">
        <f t="shared" si="139"/>
        <v>1.01</v>
      </c>
      <c r="R184">
        <f t="shared" si="130"/>
        <v>1</v>
      </c>
      <c r="S184">
        <f t="shared" si="131"/>
        <v>1</v>
      </c>
      <c r="T184" t="str">
        <f>IF(V184="","",IFERROR(VLOOKUP(TRIM($V184),KEY!$B$2:$F$72,2,FALSE),""))</f>
        <v>Porsche</v>
      </c>
      <c r="V184" s="78" t="s">
        <v>161</v>
      </c>
      <c r="W184" s="78">
        <v>4</v>
      </c>
      <c r="X184" s="78">
        <v>0</v>
      </c>
      <c r="Y184" s="78">
        <v>0</v>
      </c>
      <c r="Z184" s="78">
        <v>1</v>
      </c>
      <c r="AA184" s="78">
        <v>0</v>
      </c>
      <c r="AB184" s="78">
        <v>0</v>
      </c>
      <c r="AC184" s="78">
        <v>0</v>
      </c>
      <c r="AD184" s="78">
        <v>1</v>
      </c>
      <c r="AE184" s="78">
        <v>25</v>
      </c>
      <c r="AF184" s="78">
        <v>0</v>
      </c>
      <c r="AG184" s="78">
        <v>0</v>
      </c>
      <c r="AH184" s="78">
        <v>3</v>
      </c>
      <c r="AI184" s="78">
        <v>75</v>
      </c>
      <c r="AJ184" s="78">
        <v>0</v>
      </c>
      <c r="AK184" s="78">
        <v>0</v>
      </c>
      <c r="AL184" s="78">
        <v>0</v>
      </c>
      <c r="AM184" s="78">
        <v>0</v>
      </c>
    </row>
    <row r="185" spans="2:39" x14ac:dyDescent="0.35">
      <c r="B185" t="str">
        <f t="shared" si="132"/>
        <v>Arizona-12</v>
      </c>
      <c r="C185" t="str">
        <f t="shared" si="133"/>
        <v>Dec 2025-Arizona-12</v>
      </c>
      <c r="D185">
        <f t="shared" si="124"/>
        <v>12</v>
      </c>
      <c r="E185">
        <f t="shared" si="134"/>
        <v>5.12</v>
      </c>
      <c r="F185">
        <f t="shared" si="125"/>
        <v>12</v>
      </c>
      <c r="G185">
        <f t="shared" si="126"/>
        <v>5</v>
      </c>
      <c r="H185" t="str">
        <f>IF(V185="","",IFERROR(VLOOKUP(TRIM($V185),KEY!$B$2:$F$72,3,FALSE),""))</f>
        <v>Arizona</v>
      </c>
      <c r="I185" t="str">
        <f t="shared" si="135"/>
        <v>WEST-50</v>
      </c>
      <c r="J185" t="str">
        <f t="shared" si="127"/>
        <v>Feb 2026-WEST-50</v>
      </c>
      <c r="K185">
        <f t="shared" si="128"/>
        <v>50</v>
      </c>
      <c r="L185">
        <f t="shared" si="136"/>
        <v>24.55</v>
      </c>
      <c r="M185">
        <f>IF(V185="","",IFERROR(VLOOKUP(TRIM($V185),KEY!$B$2:$F$72,5,FALSE),""))</f>
        <v>55</v>
      </c>
      <c r="N185">
        <f t="shared" si="129"/>
        <v>24</v>
      </c>
      <c r="O185" t="str">
        <f t="shared" si="137"/>
        <v>Ultra-2</v>
      </c>
      <c r="P185">
        <f t="shared" si="138"/>
        <v>2</v>
      </c>
      <c r="Q185">
        <f t="shared" si="139"/>
        <v>1.02</v>
      </c>
      <c r="R185">
        <f t="shared" si="130"/>
        <v>2</v>
      </c>
      <c r="S185">
        <f t="shared" si="131"/>
        <v>1</v>
      </c>
      <c r="T185" t="str">
        <f>IF(V185="","",IFERROR(VLOOKUP(TRIM($V185),KEY!$B$2:$F$72,2,FALSE),""))</f>
        <v>Ultra</v>
      </c>
      <c r="V185" s="78" t="s">
        <v>214</v>
      </c>
      <c r="W185" s="78">
        <v>1</v>
      </c>
      <c r="X185" s="78">
        <v>0</v>
      </c>
      <c r="Y185" s="78">
        <v>0</v>
      </c>
      <c r="Z185" s="78">
        <v>0</v>
      </c>
      <c r="AA185" s="78">
        <v>0</v>
      </c>
      <c r="AB185" s="78">
        <v>0</v>
      </c>
      <c r="AC185" s="78">
        <v>0</v>
      </c>
      <c r="AD185" s="78">
        <v>0</v>
      </c>
      <c r="AE185" s="78">
        <v>0</v>
      </c>
      <c r="AF185" s="78">
        <v>0</v>
      </c>
      <c r="AG185" s="78">
        <v>0</v>
      </c>
      <c r="AH185" s="78">
        <v>1</v>
      </c>
      <c r="AI185" s="78">
        <v>100</v>
      </c>
      <c r="AJ185" s="78">
        <v>0</v>
      </c>
      <c r="AK185" s="78">
        <v>0</v>
      </c>
      <c r="AL185" s="78">
        <v>0</v>
      </c>
      <c r="AM185" s="78">
        <v>0</v>
      </c>
    </row>
    <row r="186" spans="2:39" x14ac:dyDescent="0.35">
      <c r="B186" t="str">
        <f t="shared" ref="B186:B199" si="140">IF(V186="","",H186&amp;"-"&amp;D186)</f>
        <v>Arizona-9</v>
      </c>
      <c r="C186" t="str">
        <f t="shared" ref="C186:C199" si="141">IF(V186="","",$W$1&amp;"-"&amp;B186)</f>
        <v>Dec 2025-Arizona-9</v>
      </c>
      <c r="D186">
        <f t="shared" ref="D186:D199" si="142">IF(V186="","",COUNTIFS($H$172:$H$242,H186,$E$172:$E$242,"&lt;"&amp;E186)+1)</f>
        <v>9</v>
      </c>
      <c r="E186">
        <f t="shared" ref="E186:E199" si="143">IF(V186="","",G186+(F186/100))</f>
        <v>5.05</v>
      </c>
      <c r="F186">
        <f t="shared" ref="F186:F199" si="144">IF(V186="","",COUNTIFS($H$172:$H$242,H186,$V$172:$V$242,"&lt;"&amp;V186)+1)</f>
        <v>5</v>
      </c>
      <c r="G186">
        <f t="shared" ref="G186:G199" si="145">IF(V186="","",COUNTIFS($H$172:$H$242,H186,$Y$172:$Y$242,"&gt;"&amp;Y186)+1)</f>
        <v>5</v>
      </c>
      <c r="H186" t="str">
        <f>IF(V186="","",IFERROR(VLOOKUP(TRIM($V186),KEY!$B$2:$F$72,3,FALSE),""))</f>
        <v>Arizona</v>
      </c>
      <c r="I186" t="str">
        <f t="shared" ref="I186:I199" si="146">IF(V186="","","WEST-"&amp;K186)</f>
        <v>WEST-37</v>
      </c>
      <c r="J186" t="str">
        <f t="shared" ref="J186:J199" si="147">IF(V186="","",$Y$1&amp;"-"&amp;I186)</f>
        <v>Feb 2026-WEST-37</v>
      </c>
      <c r="K186">
        <f t="shared" ref="K186:K199" si="148">IFERROR(IF(V186="","",RANK(L186,$L$172:$L$242,1)),"-")</f>
        <v>37</v>
      </c>
      <c r="L186">
        <f t="shared" ref="L186:L199" si="149">IFERROR(IF(V186="","",N186+(M186/100)),"-")</f>
        <v>24.27</v>
      </c>
      <c r="M186">
        <f>IF(V186="","",IFERROR(VLOOKUP(TRIM($V186),KEY!$B$2:$F$72,5,FALSE),""))</f>
        <v>27</v>
      </c>
      <c r="N186">
        <f t="shared" ref="N186:N199" si="150">IFERROR(IF(V186="","",RANK(Y186,$Y$172:$Y$242)),"-")</f>
        <v>24</v>
      </c>
      <c r="O186" t="str">
        <f t="shared" ref="O186:O199" si="151">IF(V186="","",T186&amp;"-"&amp;P186)</f>
        <v>Ultra-1</v>
      </c>
      <c r="P186">
        <f t="shared" si="138"/>
        <v>1</v>
      </c>
      <c r="Q186">
        <f t="shared" si="139"/>
        <v>1.01</v>
      </c>
      <c r="R186">
        <f t="shared" ref="R186:R199" si="152">IF(V186="","",COUNTIFS($T$172:$T$242,T186,$V$172:$V$242,"&lt;"&amp;V186)+1)</f>
        <v>1</v>
      </c>
      <c r="S186">
        <f t="shared" ref="S186:S199" si="153">IF(V186="","",COUNTIFS($T$172:$T$242,T186,$Y$172:$Y$242,"&gt;"&amp;Y186)+1)</f>
        <v>1</v>
      </c>
      <c r="T186" t="str">
        <f>IF(V186="","",IFERROR(VLOOKUP(TRIM($V186),KEY!$B$2:$F$72,2,FALSE),""))</f>
        <v>Ultra</v>
      </c>
      <c r="V186" s="78" t="s">
        <v>215</v>
      </c>
      <c r="W186" s="78">
        <v>1</v>
      </c>
      <c r="X186" s="78">
        <v>0</v>
      </c>
      <c r="Y186" s="78">
        <v>0</v>
      </c>
      <c r="Z186" s="78">
        <v>0</v>
      </c>
      <c r="AA186" s="78">
        <v>0</v>
      </c>
      <c r="AB186" s="78">
        <v>0</v>
      </c>
      <c r="AC186" s="78">
        <v>0</v>
      </c>
      <c r="AD186" s="78">
        <v>0</v>
      </c>
      <c r="AE186" s="78">
        <v>0</v>
      </c>
      <c r="AF186" s="78">
        <v>1</v>
      </c>
      <c r="AG186" s="78">
        <v>0</v>
      </c>
      <c r="AH186" s="78">
        <v>0</v>
      </c>
      <c r="AI186" s="78">
        <v>100</v>
      </c>
      <c r="AJ186" s="78">
        <v>0</v>
      </c>
      <c r="AK186" s="78">
        <v>0</v>
      </c>
      <c r="AL186" s="78">
        <v>0</v>
      </c>
      <c r="AM186" s="78">
        <v>0</v>
      </c>
    </row>
    <row r="187" spans="2:39" x14ac:dyDescent="0.35">
      <c r="B187" t="str">
        <f t="shared" si="140"/>
        <v>Indiana-2</v>
      </c>
      <c r="C187" t="str">
        <f t="shared" si="141"/>
        <v>Dec 2025-Indiana-2</v>
      </c>
      <c r="D187">
        <f t="shared" si="142"/>
        <v>2</v>
      </c>
      <c r="E187">
        <f t="shared" si="143"/>
        <v>2.02</v>
      </c>
      <c r="F187">
        <f t="shared" si="144"/>
        <v>2</v>
      </c>
      <c r="G187">
        <f t="shared" si="145"/>
        <v>2</v>
      </c>
      <c r="H187" t="str">
        <f>IF(V187="","",IFERROR(VLOOKUP(TRIM($V187),KEY!$B$2:$F$72,3,FALSE),""))</f>
        <v>Indiana</v>
      </c>
      <c r="I187" t="str">
        <f t="shared" si="146"/>
        <v>WEST-13</v>
      </c>
      <c r="J187" t="str">
        <f t="shared" si="147"/>
        <v>Feb 2026-WEST-13</v>
      </c>
      <c r="K187">
        <f t="shared" si="148"/>
        <v>13</v>
      </c>
      <c r="L187">
        <f t="shared" si="149"/>
        <v>13.48</v>
      </c>
      <c r="M187">
        <f>IF(V187="","",IFERROR(VLOOKUP(TRIM($V187),KEY!$B$2:$F$72,5,FALSE),""))</f>
        <v>48</v>
      </c>
      <c r="N187">
        <f t="shared" si="150"/>
        <v>13</v>
      </c>
      <c r="O187" t="str">
        <f t="shared" si="151"/>
        <v>Honda-4</v>
      </c>
      <c r="P187">
        <f t="shared" si="138"/>
        <v>4</v>
      </c>
      <c r="Q187">
        <f t="shared" si="139"/>
        <v>3.05</v>
      </c>
      <c r="R187">
        <f t="shared" si="152"/>
        <v>5</v>
      </c>
      <c r="S187">
        <f t="shared" si="153"/>
        <v>3</v>
      </c>
      <c r="T187" t="str">
        <f>IF(V187="","",IFERROR(VLOOKUP(TRIM($V187),KEY!$B$2:$F$72,2,FALSE),""))</f>
        <v>Honda</v>
      </c>
      <c r="V187" s="78" t="s">
        <v>162</v>
      </c>
      <c r="W187" s="78">
        <v>64</v>
      </c>
      <c r="X187" s="78">
        <v>15</v>
      </c>
      <c r="Y187" s="78">
        <v>23</v>
      </c>
      <c r="Z187" s="78">
        <v>1</v>
      </c>
      <c r="AA187" s="78">
        <v>15</v>
      </c>
      <c r="AB187" s="78">
        <v>0</v>
      </c>
      <c r="AC187" s="78">
        <v>2</v>
      </c>
      <c r="AD187" s="78">
        <v>18</v>
      </c>
      <c r="AE187" s="78">
        <v>28</v>
      </c>
      <c r="AF187" s="78">
        <v>39</v>
      </c>
      <c r="AG187" s="78">
        <v>0</v>
      </c>
      <c r="AH187" s="78">
        <v>0</v>
      </c>
      <c r="AI187" s="78">
        <v>61</v>
      </c>
      <c r="AJ187" s="78">
        <v>0</v>
      </c>
      <c r="AK187" s="78">
        <v>7</v>
      </c>
      <c r="AL187" s="78">
        <v>0</v>
      </c>
      <c r="AM187" s="78">
        <v>11</v>
      </c>
    </row>
    <row r="188" spans="2:39" x14ac:dyDescent="0.35">
      <c r="B188" t="str">
        <f t="shared" si="140"/>
        <v>Indiana-1</v>
      </c>
      <c r="C188" t="str">
        <f t="shared" si="141"/>
        <v>Dec 2025-Indiana-1</v>
      </c>
      <c r="D188">
        <f t="shared" si="142"/>
        <v>1</v>
      </c>
      <c r="E188">
        <f t="shared" si="143"/>
        <v>1.01</v>
      </c>
      <c r="F188">
        <f t="shared" si="144"/>
        <v>1</v>
      </c>
      <c r="G188">
        <f t="shared" si="145"/>
        <v>1</v>
      </c>
      <c r="H188" t="str">
        <f>IF(V188="","",IFERROR(VLOOKUP(TRIM($V188),KEY!$B$2:$F$72,3,FALSE),""))</f>
        <v>Indiana</v>
      </c>
      <c r="I188" t="str">
        <f t="shared" si="146"/>
        <v>WEST-5</v>
      </c>
      <c r="J188" t="str">
        <f t="shared" si="147"/>
        <v>Feb 2026-WEST-5</v>
      </c>
      <c r="K188">
        <f t="shared" si="148"/>
        <v>5</v>
      </c>
      <c r="L188">
        <f t="shared" si="149"/>
        <v>5.47</v>
      </c>
      <c r="M188">
        <f>IF(V188="","",IFERROR(VLOOKUP(TRIM($V188),KEY!$B$2:$F$72,5,FALSE),""))</f>
        <v>47</v>
      </c>
      <c r="N188">
        <f t="shared" si="150"/>
        <v>5</v>
      </c>
      <c r="O188" t="str">
        <f t="shared" si="151"/>
        <v>Chevrolet-1</v>
      </c>
      <c r="P188">
        <f t="shared" si="138"/>
        <v>1</v>
      </c>
      <c r="Q188">
        <f t="shared" si="139"/>
        <v>1.01</v>
      </c>
      <c r="R188">
        <f t="shared" si="152"/>
        <v>1</v>
      </c>
      <c r="S188">
        <f t="shared" si="153"/>
        <v>1</v>
      </c>
      <c r="T188" t="str">
        <f>IF(V188="","",IFERROR(VLOOKUP(TRIM($V188),KEY!$B$2:$F$72,2,FALSE),""))</f>
        <v>Chevrolet</v>
      </c>
      <c r="V188" s="78" t="s">
        <v>163</v>
      </c>
      <c r="W188" s="78">
        <v>14</v>
      </c>
      <c r="X188" s="78">
        <v>6</v>
      </c>
      <c r="Y188" s="78">
        <v>43</v>
      </c>
      <c r="Z188" s="78">
        <v>0</v>
      </c>
      <c r="AA188" s="78">
        <v>6</v>
      </c>
      <c r="AB188" s="78">
        <v>0</v>
      </c>
      <c r="AC188" s="78">
        <v>0</v>
      </c>
      <c r="AD188" s="78">
        <v>6</v>
      </c>
      <c r="AE188" s="78">
        <v>43</v>
      </c>
      <c r="AF188" s="78">
        <v>2</v>
      </c>
      <c r="AG188" s="78">
        <v>0</v>
      </c>
      <c r="AH188" s="78">
        <v>4</v>
      </c>
      <c r="AI188" s="78">
        <v>43</v>
      </c>
      <c r="AJ188" s="78">
        <v>0</v>
      </c>
      <c r="AK188" s="78">
        <v>2</v>
      </c>
      <c r="AL188" s="78">
        <v>0</v>
      </c>
      <c r="AM188" s="78">
        <v>14</v>
      </c>
    </row>
    <row r="189" spans="2:39" x14ac:dyDescent="0.35">
      <c r="B189" t="str">
        <f t="shared" si="140"/>
        <v>Northern California-3</v>
      </c>
      <c r="C189" t="str">
        <f t="shared" si="141"/>
        <v>Dec 2025-Northern California-3</v>
      </c>
      <c r="D189">
        <f t="shared" si="142"/>
        <v>3</v>
      </c>
      <c r="E189">
        <f t="shared" si="143"/>
        <v>3.02</v>
      </c>
      <c r="F189">
        <f t="shared" si="144"/>
        <v>2</v>
      </c>
      <c r="G189">
        <f t="shared" si="145"/>
        <v>3</v>
      </c>
      <c r="H189" t="str">
        <f>IF(V189="","",IFERROR(VLOOKUP(TRIM($V189),KEY!$B$2:$F$72,3,FALSE),""))</f>
        <v>Northern California</v>
      </c>
      <c r="I189" t="str">
        <f t="shared" si="146"/>
        <v>WEST-31</v>
      </c>
      <c r="J189" t="str">
        <f t="shared" si="147"/>
        <v>Feb 2026-WEST-31</v>
      </c>
      <c r="K189">
        <f t="shared" si="148"/>
        <v>31</v>
      </c>
      <c r="L189">
        <f t="shared" si="149"/>
        <v>24.17</v>
      </c>
      <c r="M189">
        <f>IF(V189="","",IFERROR(VLOOKUP(TRIM($V189),KEY!$B$2:$F$72,5,FALSE),""))</f>
        <v>17</v>
      </c>
      <c r="N189">
        <f t="shared" si="150"/>
        <v>24</v>
      </c>
      <c r="O189" t="str">
        <f t="shared" si="151"/>
        <v>Acura-2</v>
      </c>
      <c r="P189">
        <f t="shared" si="138"/>
        <v>2</v>
      </c>
      <c r="Q189">
        <f t="shared" si="139"/>
        <v>1.03</v>
      </c>
      <c r="R189">
        <f t="shared" si="152"/>
        <v>3</v>
      </c>
      <c r="S189">
        <f t="shared" si="153"/>
        <v>1</v>
      </c>
      <c r="T189" t="str">
        <f>IF(V189="","",IFERROR(VLOOKUP(TRIM($V189),KEY!$B$2:$F$72,2,FALSE),""))</f>
        <v>Acura</v>
      </c>
      <c r="V189" s="78" t="s">
        <v>164</v>
      </c>
      <c r="W189" s="78">
        <v>4</v>
      </c>
      <c r="X189" s="78">
        <v>0</v>
      </c>
      <c r="Y189" s="78">
        <v>0</v>
      </c>
      <c r="Z189" s="78">
        <v>0</v>
      </c>
      <c r="AA189" s="78">
        <v>0</v>
      </c>
      <c r="AB189" s="78">
        <v>0</v>
      </c>
      <c r="AC189" s="78">
        <v>0</v>
      </c>
      <c r="AD189" s="78">
        <v>0</v>
      </c>
      <c r="AE189" s="78">
        <v>0</v>
      </c>
      <c r="AF189" s="78">
        <v>0</v>
      </c>
      <c r="AG189" s="78">
        <v>0</v>
      </c>
      <c r="AH189" s="78">
        <v>4</v>
      </c>
      <c r="AI189" s="78">
        <v>100</v>
      </c>
      <c r="AJ189" s="78">
        <v>0</v>
      </c>
      <c r="AK189" s="78">
        <v>0</v>
      </c>
      <c r="AL189" s="78">
        <v>0</v>
      </c>
      <c r="AM189" s="78">
        <v>0</v>
      </c>
    </row>
    <row r="190" spans="2:39" x14ac:dyDescent="0.35">
      <c r="B190" t="str">
        <f t="shared" si="140"/>
        <v>Northern California-4</v>
      </c>
      <c r="C190" t="str">
        <f t="shared" si="141"/>
        <v>Dec 2025-Northern California-4</v>
      </c>
      <c r="D190">
        <f t="shared" si="142"/>
        <v>4</v>
      </c>
      <c r="E190">
        <f t="shared" si="143"/>
        <v>3.03</v>
      </c>
      <c r="F190">
        <f t="shared" si="144"/>
        <v>3</v>
      </c>
      <c r="G190">
        <f t="shared" si="145"/>
        <v>3</v>
      </c>
      <c r="H190" t="str">
        <f>IF(V190="","",IFERROR(VLOOKUP(TRIM($V190),KEY!$B$2:$F$72,3,FALSE),""))</f>
        <v>Northern California</v>
      </c>
      <c r="I190" t="str">
        <f t="shared" si="146"/>
        <v>WEST-32</v>
      </c>
      <c r="J190" t="str">
        <f t="shared" si="147"/>
        <v>Feb 2026-WEST-32</v>
      </c>
      <c r="K190">
        <f t="shared" si="148"/>
        <v>32</v>
      </c>
      <c r="L190">
        <f t="shared" si="149"/>
        <v>24.18</v>
      </c>
      <c r="M190">
        <f>IF(V190="","",IFERROR(VLOOKUP(TRIM($V190),KEY!$B$2:$F$72,5,FALSE),""))</f>
        <v>18</v>
      </c>
      <c r="N190">
        <f t="shared" si="150"/>
        <v>24</v>
      </c>
      <c r="O190" t="str">
        <f t="shared" si="151"/>
        <v>Honda-4</v>
      </c>
      <c r="P190">
        <f t="shared" si="138"/>
        <v>4</v>
      </c>
      <c r="Q190">
        <f t="shared" si="139"/>
        <v>4.01</v>
      </c>
      <c r="R190">
        <f t="shared" si="152"/>
        <v>1</v>
      </c>
      <c r="S190">
        <f t="shared" si="153"/>
        <v>4</v>
      </c>
      <c r="T190" t="str">
        <f>IF(V190="","",IFERROR(VLOOKUP(TRIM($V190),KEY!$B$2:$F$72,2,FALSE),""))</f>
        <v>Honda</v>
      </c>
      <c r="V190" s="78" t="s">
        <v>165</v>
      </c>
      <c r="W190" s="78">
        <v>22</v>
      </c>
      <c r="X190" s="78">
        <v>0</v>
      </c>
      <c r="Y190" s="78">
        <v>0</v>
      </c>
      <c r="Z190" s="78">
        <v>0</v>
      </c>
      <c r="AA190" s="78">
        <v>0</v>
      </c>
      <c r="AB190" s="78">
        <v>0</v>
      </c>
      <c r="AC190" s="78">
        <v>0</v>
      </c>
      <c r="AD190" s="78">
        <v>0</v>
      </c>
      <c r="AE190" s="78">
        <v>0</v>
      </c>
      <c r="AF190" s="78">
        <v>0</v>
      </c>
      <c r="AG190" s="78">
        <v>0</v>
      </c>
      <c r="AH190" s="78">
        <v>22</v>
      </c>
      <c r="AI190" s="78">
        <v>100</v>
      </c>
      <c r="AJ190" s="78">
        <v>0</v>
      </c>
      <c r="AK190" s="78">
        <v>0</v>
      </c>
      <c r="AL190" s="78">
        <v>0</v>
      </c>
      <c r="AM190" s="78">
        <v>0</v>
      </c>
    </row>
    <row r="191" spans="2:39" x14ac:dyDescent="0.35">
      <c r="B191" t="str">
        <f t="shared" si="140"/>
        <v>Northern California-1</v>
      </c>
      <c r="C191" t="str">
        <f t="shared" si="141"/>
        <v>Dec 2025-Northern California-1</v>
      </c>
      <c r="D191">
        <f t="shared" si="142"/>
        <v>1</v>
      </c>
      <c r="E191">
        <f t="shared" si="143"/>
        <v>1.04</v>
      </c>
      <c r="F191">
        <f t="shared" si="144"/>
        <v>4</v>
      </c>
      <c r="G191">
        <f t="shared" si="145"/>
        <v>1</v>
      </c>
      <c r="H191" t="str">
        <f>IF(V191="","",IFERROR(VLOOKUP(TRIM($V191),KEY!$B$2:$F$72,3,FALSE),""))</f>
        <v>Northern California</v>
      </c>
      <c r="I191" t="str">
        <f t="shared" si="146"/>
        <v>WEST-10</v>
      </c>
      <c r="J191" t="str">
        <f t="shared" si="147"/>
        <v>Feb 2026-WEST-10</v>
      </c>
      <c r="K191">
        <f t="shared" si="148"/>
        <v>10</v>
      </c>
      <c r="L191">
        <f t="shared" si="149"/>
        <v>9.24</v>
      </c>
      <c r="M191">
        <f>IF(V191="","",IFERROR(VLOOKUP(TRIM($V191),KEY!$B$2:$F$72,5,FALSE),""))</f>
        <v>24</v>
      </c>
      <c r="N191">
        <f t="shared" si="150"/>
        <v>9</v>
      </c>
      <c r="O191" t="str">
        <f t="shared" si="151"/>
        <v>Honda-2</v>
      </c>
      <c r="P191">
        <f t="shared" si="138"/>
        <v>2</v>
      </c>
      <c r="Q191">
        <f t="shared" si="139"/>
        <v>2.0299999999999998</v>
      </c>
      <c r="R191">
        <f t="shared" si="152"/>
        <v>3</v>
      </c>
      <c r="S191">
        <f t="shared" si="153"/>
        <v>2</v>
      </c>
      <c r="T191" t="str">
        <f>IF(V191="","",IFERROR(VLOOKUP(TRIM($V191),KEY!$B$2:$F$72,2,FALSE),""))</f>
        <v>Honda</v>
      </c>
      <c r="V191" s="78" t="s">
        <v>166</v>
      </c>
      <c r="W191" s="78">
        <v>20</v>
      </c>
      <c r="X191" s="78">
        <v>6</v>
      </c>
      <c r="Y191" s="78">
        <v>30</v>
      </c>
      <c r="Z191" s="78">
        <v>1</v>
      </c>
      <c r="AA191" s="78">
        <v>6</v>
      </c>
      <c r="AB191" s="78">
        <v>0</v>
      </c>
      <c r="AC191" s="78">
        <v>0</v>
      </c>
      <c r="AD191" s="78">
        <v>7</v>
      </c>
      <c r="AE191" s="78">
        <v>35</v>
      </c>
      <c r="AF191" s="78">
        <v>11</v>
      </c>
      <c r="AG191" s="78">
        <v>0</v>
      </c>
      <c r="AH191" s="78">
        <v>0</v>
      </c>
      <c r="AI191" s="78">
        <v>55</v>
      </c>
      <c r="AJ191" s="78">
        <v>1</v>
      </c>
      <c r="AK191" s="78">
        <v>1</v>
      </c>
      <c r="AL191" s="78">
        <v>0</v>
      </c>
      <c r="AM191" s="78">
        <v>10</v>
      </c>
    </row>
    <row r="192" spans="2:39" x14ac:dyDescent="0.35">
      <c r="B192" t="str">
        <f t="shared" si="140"/>
        <v>Northern California-8</v>
      </c>
      <c r="C192" t="str">
        <f t="shared" si="141"/>
        <v>Dec 2025-Northern California-8</v>
      </c>
      <c r="D192">
        <f t="shared" si="142"/>
        <v>8</v>
      </c>
      <c r="E192">
        <f t="shared" si="143"/>
        <v>3.08</v>
      </c>
      <c r="F192">
        <f t="shared" si="144"/>
        <v>8</v>
      </c>
      <c r="G192">
        <f t="shared" si="145"/>
        <v>3</v>
      </c>
      <c r="H192" t="str">
        <f>IF(V192="","",IFERROR(VLOOKUP(TRIM($V192),KEY!$B$2:$F$72,3,FALSE),""))</f>
        <v>Northern California</v>
      </c>
      <c r="I192" t="str">
        <f t="shared" si="146"/>
        <v>WEST-53</v>
      </c>
      <c r="J192" t="str">
        <f t="shared" si="147"/>
        <v>Feb 2026-WEST-53</v>
      </c>
      <c r="K192">
        <f t="shared" si="148"/>
        <v>53</v>
      </c>
      <c r="L192">
        <f t="shared" si="149"/>
        <v>24.58</v>
      </c>
      <c r="M192">
        <f>IF(V192="","",IFERROR(VLOOKUP(TRIM($V192),KEY!$B$2:$F$72,5,FALSE),""))</f>
        <v>58</v>
      </c>
      <c r="N192">
        <f t="shared" si="150"/>
        <v>24</v>
      </c>
      <c r="O192" t="str">
        <f t="shared" si="151"/>
        <v>Toyota-4</v>
      </c>
      <c r="P192">
        <f t="shared" si="138"/>
        <v>4</v>
      </c>
      <c r="Q192">
        <f t="shared" si="139"/>
        <v>3.04</v>
      </c>
      <c r="R192">
        <f t="shared" si="152"/>
        <v>4</v>
      </c>
      <c r="S192">
        <f t="shared" si="153"/>
        <v>3</v>
      </c>
      <c r="T192" t="str">
        <f>IF(V192="","",IFERROR(VLOOKUP(TRIM($V192),KEY!$B$2:$F$72,2,FALSE),""))</f>
        <v>Toyota</v>
      </c>
      <c r="V192" s="78" t="s">
        <v>167</v>
      </c>
      <c r="W192" s="78">
        <v>3</v>
      </c>
      <c r="X192" s="78">
        <v>0</v>
      </c>
      <c r="Y192" s="78">
        <v>0</v>
      </c>
      <c r="Z192" s="78">
        <v>0</v>
      </c>
      <c r="AA192" s="78">
        <v>0</v>
      </c>
      <c r="AB192" s="78">
        <v>0</v>
      </c>
      <c r="AC192" s="78">
        <v>0</v>
      </c>
      <c r="AD192" s="78">
        <v>0</v>
      </c>
      <c r="AE192" s="78">
        <v>0</v>
      </c>
      <c r="AF192" s="78">
        <v>2</v>
      </c>
      <c r="AG192" s="78">
        <v>0</v>
      </c>
      <c r="AH192" s="78">
        <v>0</v>
      </c>
      <c r="AI192" s="78">
        <v>67</v>
      </c>
      <c r="AJ192" s="78">
        <v>0</v>
      </c>
      <c r="AK192" s="78">
        <v>1</v>
      </c>
      <c r="AL192" s="78">
        <v>0</v>
      </c>
      <c r="AM192" s="78">
        <v>33</v>
      </c>
    </row>
    <row r="193" spans="2:39" x14ac:dyDescent="0.35">
      <c r="B193" t="str">
        <f t="shared" si="140"/>
        <v>Northern California-6</v>
      </c>
      <c r="C193" t="str">
        <f t="shared" si="141"/>
        <v>Dec 2025-Northern California-6</v>
      </c>
      <c r="D193">
        <f t="shared" si="142"/>
        <v>6</v>
      </c>
      <c r="E193">
        <f t="shared" si="143"/>
        <v>3.06</v>
      </c>
      <c r="F193">
        <f t="shared" si="144"/>
        <v>6</v>
      </c>
      <c r="G193">
        <f t="shared" si="145"/>
        <v>3</v>
      </c>
      <c r="H193" t="str">
        <f>IF(V193="","",IFERROR(VLOOKUP(TRIM($V193),KEY!$B$2:$F$72,3,FALSE),""))</f>
        <v>Northern California</v>
      </c>
      <c r="I193" t="str">
        <f t="shared" si="146"/>
        <v>WEST-45</v>
      </c>
      <c r="J193" t="str">
        <f t="shared" si="147"/>
        <v>Feb 2026-WEST-45</v>
      </c>
      <c r="K193">
        <f t="shared" si="148"/>
        <v>45</v>
      </c>
      <c r="L193">
        <f t="shared" si="149"/>
        <v>24.49</v>
      </c>
      <c r="M193">
        <f>IF(V193="","",IFERROR(VLOOKUP(TRIM($V193),KEY!$B$2:$F$72,5,FALSE),""))</f>
        <v>49</v>
      </c>
      <c r="N193">
        <f t="shared" si="150"/>
        <v>24</v>
      </c>
      <c r="O193" t="str">
        <f t="shared" si="151"/>
        <v>BMW-6</v>
      </c>
      <c r="P193">
        <f t="shared" si="138"/>
        <v>6</v>
      </c>
      <c r="Q193">
        <f t="shared" si="139"/>
        <v>6.09</v>
      </c>
      <c r="R193">
        <f t="shared" si="152"/>
        <v>9</v>
      </c>
      <c r="S193">
        <f t="shared" si="153"/>
        <v>6</v>
      </c>
      <c r="T193" t="str">
        <f>IF(V193="","",IFERROR(VLOOKUP(TRIM($V193),KEY!$B$2:$F$72,2,FALSE),""))</f>
        <v>BMW</v>
      </c>
      <c r="V193" s="78" t="s">
        <v>168</v>
      </c>
      <c r="W193" s="78">
        <v>42</v>
      </c>
      <c r="X193" s="78">
        <v>0</v>
      </c>
      <c r="Y193" s="78">
        <v>0</v>
      </c>
      <c r="Z193" s="78">
        <v>0</v>
      </c>
      <c r="AA193" s="78">
        <v>0</v>
      </c>
      <c r="AB193" s="78">
        <v>0</v>
      </c>
      <c r="AC193" s="78">
        <v>0</v>
      </c>
      <c r="AD193" s="78">
        <v>0</v>
      </c>
      <c r="AE193" s="78">
        <v>0</v>
      </c>
      <c r="AF193" s="78">
        <v>0</v>
      </c>
      <c r="AG193" s="78">
        <v>0</v>
      </c>
      <c r="AH193" s="78">
        <v>42</v>
      </c>
      <c r="AI193" s="78">
        <v>100</v>
      </c>
      <c r="AJ193" s="78">
        <v>0</v>
      </c>
      <c r="AK193" s="78">
        <v>0</v>
      </c>
      <c r="AL193" s="78">
        <v>0</v>
      </c>
      <c r="AM193" s="78">
        <v>0</v>
      </c>
    </row>
    <row r="194" spans="2:39" x14ac:dyDescent="0.35">
      <c r="B194" t="str">
        <f t="shared" si="140"/>
        <v>Northern California-2</v>
      </c>
      <c r="C194" t="str">
        <f t="shared" si="141"/>
        <v>Dec 2025-Northern California-2</v>
      </c>
      <c r="D194">
        <f t="shared" si="142"/>
        <v>2</v>
      </c>
      <c r="E194">
        <f t="shared" si="143"/>
        <v>2.0099999999999998</v>
      </c>
      <c r="F194">
        <f t="shared" si="144"/>
        <v>1</v>
      </c>
      <c r="G194">
        <f t="shared" si="145"/>
        <v>2</v>
      </c>
      <c r="H194" t="str">
        <f>IF(V194="","",IFERROR(VLOOKUP(TRIM($V194),KEY!$B$2:$F$72,3,FALSE),""))</f>
        <v>Northern California</v>
      </c>
      <c r="I194" t="str">
        <f t="shared" si="146"/>
        <v>WEST-21</v>
      </c>
      <c r="J194" t="str">
        <f t="shared" si="147"/>
        <v>Feb 2026-WEST-21</v>
      </c>
      <c r="K194">
        <f t="shared" si="148"/>
        <v>21</v>
      </c>
      <c r="L194">
        <f t="shared" si="149"/>
        <v>21.07</v>
      </c>
      <c r="M194">
        <f>IF(V194="","",IFERROR(VLOOKUP(TRIM($V194),KEY!$B$2:$F$72,5,FALSE),""))</f>
        <v>7</v>
      </c>
      <c r="N194">
        <f t="shared" si="150"/>
        <v>21</v>
      </c>
      <c r="O194" t="str">
        <f t="shared" si="151"/>
        <v>Audi-4</v>
      </c>
      <c r="P194">
        <f t="shared" si="138"/>
        <v>4</v>
      </c>
      <c r="Q194">
        <f t="shared" si="139"/>
        <v>3.05</v>
      </c>
      <c r="R194">
        <f t="shared" si="152"/>
        <v>5</v>
      </c>
      <c r="S194">
        <f t="shared" si="153"/>
        <v>3</v>
      </c>
      <c r="T194" t="str">
        <f>IF(V194="","",IFERROR(VLOOKUP(TRIM($V194),KEY!$B$2:$F$72,2,FALSE),""))</f>
        <v>Audi</v>
      </c>
      <c r="V194" s="78" t="s">
        <v>169</v>
      </c>
      <c r="W194" s="78">
        <v>79</v>
      </c>
      <c r="X194" s="78">
        <v>4</v>
      </c>
      <c r="Y194" s="78">
        <v>5</v>
      </c>
      <c r="Z194" s="78">
        <v>0</v>
      </c>
      <c r="AA194" s="78">
        <v>4</v>
      </c>
      <c r="AB194" s="78">
        <v>0</v>
      </c>
      <c r="AC194" s="78">
        <v>4</v>
      </c>
      <c r="AD194" s="78">
        <v>8</v>
      </c>
      <c r="AE194" s="78">
        <v>10</v>
      </c>
      <c r="AF194" s="78">
        <v>65</v>
      </c>
      <c r="AG194" s="78">
        <v>0</v>
      </c>
      <c r="AH194" s="78">
        <v>5</v>
      </c>
      <c r="AI194" s="78">
        <v>89</v>
      </c>
      <c r="AJ194" s="78">
        <v>1</v>
      </c>
      <c r="AK194" s="78">
        <v>0</v>
      </c>
      <c r="AL194" s="78">
        <v>0</v>
      </c>
      <c r="AM194" s="78">
        <v>1</v>
      </c>
    </row>
    <row r="195" spans="2:39" x14ac:dyDescent="0.35">
      <c r="B195" t="str">
        <f t="shared" si="140"/>
        <v>Northern California-5</v>
      </c>
      <c r="C195" t="str">
        <f t="shared" si="141"/>
        <v>Dec 2025-Northern California-5</v>
      </c>
      <c r="D195">
        <f t="shared" si="142"/>
        <v>5</v>
      </c>
      <c r="E195">
        <f t="shared" si="143"/>
        <v>3.05</v>
      </c>
      <c r="F195">
        <f t="shared" si="144"/>
        <v>5</v>
      </c>
      <c r="G195">
        <f t="shared" si="145"/>
        <v>3</v>
      </c>
      <c r="H195" t="str">
        <f>IF(V195="","",IFERROR(VLOOKUP(TRIM($V195),KEY!$B$2:$F$72,3,FALSE),""))</f>
        <v>Northern California</v>
      </c>
      <c r="I195" t="str">
        <f t="shared" si="146"/>
        <v>WEST-41</v>
      </c>
      <c r="J195" t="str">
        <f t="shared" si="147"/>
        <v>Feb 2026-WEST-41</v>
      </c>
      <c r="K195">
        <f t="shared" si="148"/>
        <v>41</v>
      </c>
      <c r="L195">
        <f t="shared" si="149"/>
        <v>24.41</v>
      </c>
      <c r="M195">
        <f>IF(V195="","",IFERROR(VLOOKUP(TRIM($V195),KEY!$B$2:$F$72,5,FALSE),""))</f>
        <v>41</v>
      </c>
      <c r="N195">
        <f t="shared" si="150"/>
        <v>24</v>
      </c>
      <c r="O195" t="str">
        <f t="shared" si="151"/>
        <v>MINI-3</v>
      </c>
      <c r="P195">
        <f t="shared" si="138"/>
        <v>3</v>
      </c>
      <c r="Q195">
        <f t="shared" si="139"/>
        <v>2.04</v>
      </c>
      <c r="R195">
        <f t="shared" si="152"/>
        <v>4</v>
      </c>
      <c r="S195">
        <f t="shared" si="153"/>
        <v>2</v>
      </c>
      <c r="T195" t="str">
        <f>IF(V195="","",IFERROR(VLOOKUP(TRIM($V195),KEY!$B$2:$F$72,2,FALSE),""))</f>
        <v>MINI</v>
      </c>
      <c r="V195" s="78" t="s">
        <v>170</v>
      </c>
      <c r="W195" s="78">
        <v>5</v>
      </c>
      <c r="X195" s="78">
        <v>0</v>
      </c>
      <c r="Y195" s="78">
        <v>0</v>
      </c>
      <c r="Z195" s="78">
        <v>0</v>
      </c>
      <c r="AA195" s="78">
        <v>0</v>
      </c>
      <c r="AB195" s="78">
        <v>0</v>
      </c>
      <c r="AC195" s="78">
        <v>0</v>
      </c>
      <c r="AD195" s="78">
        <v>0</v>
      </c>
      <c r="AE195" s="78">
        <v>0</v>
      </c>
      <c r="AF195" s="78">
        <v>5</v>
      </c>
      <c r="AG195" s="78">
        <v>0</v>
      </c>
      <c r="AH195" s="78">
        <v>0</v>
      </c>
      <c r="AI195" s="78">
        <v>100</v>
      </c>
      <c r="AJ195" s="78">
        <v>0</v>
      </c>
      <c r="AK195" s="78">
        <v>0</v>
      </c>
      <c r="AL195" s="78">
        <v>0</v>
      </c>
      <c r="AM195" s="78">
        <v>0</v>
      </c>
    </row>
    <row r="196" spans="2:39" x14ac:dyDescent="0.35">
      <c r="B196" t="str">
        <f t="shared" si="140"/>
        <v>Northern California-7</v>
      </c>
      <c r="C196" t="str">
        <f t="shared" si="141"/>
        <v>Dec 2025-Northern California-7</v>
      </c>
      <c r="D196">
        <f t="shared" si="142"/>
        <v>7</v>
      </c>
      <c r="E196">
        <f t="shared" si="143"/>
        <v>3.07</v>
      </c>
      <c r="F196">
        <f t="shared" si="144"/>
        <v>7</v>
      </c>
      <c r="G196">
        <f t="shared" si="145"/>
        <v>3</v>
      </c>
      <c r="H196" t="str">
        <f>IF(V196="","",IFERROR(VLOOKUP(TRIM($V196),KEY!$B$2:$F$72,3,FALSE),""))</f>
        <v>Northern California</v>
      </c>
      <c r="I196" t="str">
        <f t="shared" si="146"/>
        <v>WEST-47</v>
      </c>
      <c r="J196" t="str">
        <f t="shared" si="147"/>
        <v>Feb 2026-WEST-47</v>
      </c>
      <c r="K196">
        <f t="shared" si="148"/>
        <v>47</v>
      </c>
      <c r="L196">
        <f t="shared" si="149"/>
        <v>24.51</v>
      </c>
      <c r="M196">
        <f>IF(V196="","",IFERROR(VLOOKUP(TRIM($V196),KEY!$B$2:$F$72,5,FALSE),""))</f>
        <v>51</v>
      </c>
      <c r="N196">
        <f t="shared" si="150"/>
        <v>24</v>
      </c>
      <c r="O196" t="str">
        <f t="shared" si="151"/>
        <v>Porsche-2</v>
      </c>
      <c r="P196">
        <f t="shared" si="138"/>
        <v>2</v>
      </c>
      <c r="Q196">
        <f t="shared" si="139"/>
        <v>1.02</v>
      </c>
      <c r="R196">
        <f t="shared" si="152"/>
        <v>2</v>
      </c>
      <c r="S196">
        <f t="shared" si="153"/>
        <v>1</v>
      </c>
      <c r="T196" t="str">
        <f>IF(V196="","",IFERROR(VLOOKUP(TRIM($V196),KEY!$B$2:$F$72,2,FALSE),""))</f>
        <v>Porsche</v>
      </c>
      <c r="V196" s="78" t="s">
        <v>171</v>
      </c>
      <c r="W196" s="78">
        <v>5</v>
      </c>
      <c r="X196" s="78">
        <v>0</v>
      </c>
      <c r="Y196" s="78">
        <v>0</v>
      </c>
      <c r="Z196" s="78">
        <v>0</v>
      </c>
      <c r="AA196" s="78">
        <v>0</v>
      </c>
      <c r="AB196" s="78">
        <v>0</v>
      </c>
      <c r="AC196" s="78">
        <v>0</v>
      </c>
      <c r="AD196" s="78">
        <v>0</v>
      </c>
      <c r="AE196" s="78">
        <v>0</v>
      </c>
      <c r="AF196" s="78">
        <v>0</v>
      </c>
      <c r="AG196" s="78">
        <v>0</v>
      </c>
      <c r="AH196" s="78">
        <v>5</v>
      </c>
      <c r="AI196" s="78">
        <v>100</v>
      </c>
      <c r="AJ196" s="78">
        <v>0</v>
      </c>
      <c r="AK196" s="78">
        <v>0</v>
      </c>
      <c r="AL196" s="78">
        <v>0</v>
      </c>
      <c r="AM196" s="78">
        <v>0</v>
      </c>
    </row>
    <row r="197" spans="2:39" x14ac:dyDescent="0.35">
      <c r="B197" t="str">
        <f t="shared" si="140"/>
        <v>Orange County-5</v>
      </c>
      <c r="C197" t="str">
        <f t="shared" si="141"/>
        <v>Dec 2025-Orange County-5</v>
      </c>
      <c r="D197">
        <f t="shared" si="142"/>
        <v>5</v>
      </c>
      <c r="E197">
        <f t="shared" si="143"/>
        <v>5.08</v>
      </c>
      <c r="F197">
        <f t="shared" si="144"/>
        <v>8</v>
      </c>
      <c r="G197">
        <f t="shared" si="145"/>
        <v>5</v>
      </c>
      <c r="H197" t="str">
        <f>IF(V197="","",IFERROR(VLOOKUP(TRIM($V197),KEY!$B$2:$F$72,3,FALSE),""))</f>
        <v>Orange County</v>
      </c>
      <c r="I197" t="str">
        <f t="shared" si="146"/>
        <v>WEST-20</v>
      </c>
      <c r="J197" t="str">
        <f t="shared" si="147"/>
        <v>Feb 2026-WEST-20</v>
      </c>
      <c r="K197">
        <f t="shared" si="148"/>
        <v>20</v>
      </c>
      <c r="L197">
        <f t="shared" si="149"/>
        <v>20.62</v>
      </c>
      <c r="M197">
        <f>IF(V197="","",IFERROR(VLOOKUP(TRIM($V197),KEY!$B$2:$F$72,5,FALSE),""))</f>
        <v>62</v>
      </c>
      <c r="N197">
        <f t="shared" si="150"/>
        <v>20</v>
      </c>
      <c r="O197" t="str">
        <f t="shared" si="151"/>
        <v>Volkswagen-1</v>
      </c>
      <c r="P197">
        <f t="shared" si="138"/>
        <v>1</v>
      </c>
      <c r="Q197">
        <f t="shared" si="139"/>
        <v>1.02</v>
      </c>
      <c r="R197">
        <f t="shared" si="152"/>
        <v>2</v>
      </c>
      <c r="S197">
        <f t="shared" si="153"/>
        <v>1</v>
      </c>
      <c r="T197" t="str">
        <f>IF(V197="","",IFERROR(VLOOKUP(TRIM($V197),KEY!$B$2:$F$72,2,FALSE),""))</f>
        <v>Volkswagen</v>
      </c>
      <c r="V197" s="78" t="s">
        <v>172</v>
      </c>
      <c r="W197" s="78">
        <v>49</v>
      </c>
      <c r="X197" s="78">
        <v>4</v>
      </c>
      <c r="Y197" s="78">
        <v>8</v>
      </c>
      <c r="Z197" s="78">
        <v>0</v>
      </c>
      <c r="AA197" s="78">
        <v>4</v>
      </c>
      <c r="AB197" s="78">
        <v>0</v>
      </c>
      <c r="AC197" s="78">
        <v>0</v>
      </c>
      <c r="AD197" s="78">
        <v>4</v>
      </c>
      <c r="AE197" s="78">
        <v>8</v>
      </c>
      <c r="AF197" s="78">
        <v>0</v>
      </c>
      <c r="AG197" s="78">
        <v>0</v>
      </c>
      <c r="AH197" s="78">
        <v>40</v>
      </c>
      <c r="AI197" s="78">
        <v>82</v>
      </c>
      <c r="AJ197" s="78">
        <v>5</v>
      </c>
      <c r="AK197" s="78">
        <v>0</v>
      </c>
      <c r="AL197" s="78">
        <v>0</v>
      </c>
      <c r="AM197" s="78">
        <v>10</v>
      </c>
    </row>
    <row r="198" spans="2:39" x14ac:dyDescent="0.35">
      <c r="B198" t="str">
        <f t="shared" si="140"/>
        <v>Orange County-2</v>
      </c>
      <c r="C198" t="str">
        <f t="shared" si="141"/>
        <v>Dec 2025-Orange County-2</v>
      </c>
      <c r="D198">
        <f t="shared" si="142"/>
        <v>2</v>
      </c>
      <c r="E198">
        <f t="shared" si="143"/>
        <v>2.06</v>
      </c>
      <c r="F198">
        <f t="shared" si="144"/>
        <v>6</v>
      </c>
      <c r="G198">
        <f t="shared" si="145"/>
        <v>2</v>
      </c>
      <c r="H198" t="str">
        <f>IF(V198="","",IFERROR(VLOOKUP(TRIM($V198),KEY!$B$2:$F$72,3,FALSE),""))</f>
        <v>Orange County</v>
      </c>
      <c r="I198" t="str">
        <f t="shared" si="146"/>
        <v>WEST-12</v>
      </c>
      <c r="J198" t="str">
        <f t="shared" si="147"/>
        <v>Feb 2026-WEST-12</v>
      </c>
      <c r="K198">
        <f t="shared" si="148"/>
        <v>12</v>
      </c>
      <c r="L198">
        <f t="shared" si="149"/>
        <v>12.34</v>
      </c>
      <c r="M198">
        <f>IF(V198="","",IFERROR(VLOOKUP(TRIM($V198),KEY!$B$2:$F$72,5,FALSE),""))</f>
        <v>34</v>
      </c>
      <c r="N198">
        <f t="shared" si="150"/>
        <v>12</v>
      </c>
      <c r="O198" t="str">
        <f t="shared" si="151"/>
        <v>Lincoln-1</v>
      </c>
      <c r="P198">
        <f t="shared" si="138"/>
        <v>1</v>
      </c>
      <c r="Q198">
        <f t="shared" si="139"/>
        <v>1.01</v>
      </c>
      <c r="R198">
        <f t="shared" si="152"/>
        <v>1</v>
      </c>
      <c r="S198">
        <f t="shared" si="153"/>
        <v>1</v>
      </c>
      <c r="T198" t="str">
        <f>IF(V198="","",IFERROR(VLOOKUP(TRIM($V198),KEY!$B$2:$F$72,2,FALSE),""))</f>
        <v>Lincoln</v>
      </c>
      <c r="V198" s="78" t="s">
        <v>176</v>
      </c>
      <c r="W198" s="78">
        <v>4</v>
      </c>
      <c r="X198" s="78">
        <v>1</v>
      </c>
      <c r="Y198" s="78">
        <v>25</v>
      </c>
      <c r="Z198" s="78">
        <v>0</v>
      </c>
      <c r="AA198" s="78">
        <v>1</v>
      </c>
      <c r="AB198" s="78">
        <v>0</v>
      </c>
      <c r="AC198" s="78">
        <v>0</v>
      </c>
      <c r="AD198" s="78">
        <v>1</v>
      </c>
      <c r="AE198" s="78">
        <v>25</v>
      </c>
      <c r="AF198" s="78">
        <v>2</v>
      </c>
      <c r="AG198" s="78">
        <v>0</v>
      </c>
      <c r="AH198" s="78">
        <v>0</v>
      </c>
      <c r="AI198" s="78">
        <v>50</v>
      </c>
      <c r="AJ198" s="78">
        <v>1</v>
      </c>
      <c r="AK198" s="78">
        <v>0</v>
      </c>
      <c r="AL198" s="78">
        <v>0</v>
      </c>
      <c r="AM198" s="78">
        <v>25</v>
      </c>
    </row>
    <row r="199" spans="2:39" x14ac:dyDescent="0.35">
      <c r="B199" t="str">
        <f t="shared" si="140"/>
        <v>Orange County-1</v>
      </c>
      <c r="C199" t="str">
        <f t="shared" si="141"/>
        <v>Dec 2025-Orange County-1</v>
      </c>
      <c r="D199">
        <f t="shared" si="142"/>
        <v>1</v>
      </c>
      <c r="E199">
        <f t="shared" si="143"/>
        <v>1.04</v>
      </c>
      <c r="F199">
        <f t="shared" si="144"/>
        <v>4</v>
      </c>
      <c r="G199">
        <f t="shared" si="145"/>
        <v>1</v>
      </c>
      <c r="H199" t="str">
        <f>IF(V199="","",IFERROR(VLOOKUP(TRIM($V199),KEY!$B$2:$F$72,3,FALSE),""))</f>
        <v>Orange County</v>
      </c>
      <c r="I199" t="str">
        <f t="shared" si="146"/>
        <v>WEST-9</v>
      </c>
      <c r="J199" t="str">
        <f t="shared" si="147"/>
        <v>Feb 2026-WEST-9</v>
      </c>
      <c r="K199">
        <f t="shared" si="148"/>
        <v>9</v>
      </c>
      <c r="L199">
        <f t="shared" si="149"/>
        <v>9.19</v>
      </c>
      <c r="M199">
        <f>IF(V199="","",IFERROR(VLOOKUP(TRIM($V199),KEY!$B$2:$F$72,5,FALSE),""))</f>
        <v>19</v>
      </c>
      <c r="N199">
        <f t="shared" si="150"/>
        <v>9</v>
      </c>
      <c r="O199" t="str">
        <f t="shared" si="151"/>
        <v>BMW-1</v>
      </c>
      <c r="P199">
        <f t="shared" si="138"/>
        <v>1</v>
      </c>
      <c r="Q199">
        <f t="shared" si="139"/>
        <v>1.07</v>
      </c>
      <c r="R199">
        <f t="shared" si="152"/>
        <v>7</v>
      </c>
      <c r="S199">
        <f t="shared" si="153"/>
        <v>1</v>
      </c>
      <c r="T199" t="str">
        <f>IF(V199="","",IFERROR(VLOOKUP(TRIM($V199),KEY!$B$2:$F$72,2,FALSE),""))</f>
        <v>BMW</v>
      </c>
      <c r="V199" s="78" t="s">
        <v>173</v>
      </c>
      <c r="W199" s="78">
        <v>122</v>
      </c>
      <c r="X199" s="78">
        <v>37</v>
      </c>
      <c r="Y199" s="78">
        <v>30</v>
      </c>
      <c r="Z199" s="78">
        <v>0</v>
      </c>
      <c r="AA199" s="78">
        <v>37</v>
      </c>
      <c r="AB199" s="78">
        <v>2</v>
      </c>
      <c r="AC199" s="78">
        <v>2</v>
      </c>
      <c r="AD199" s="78">
        <v>41</v>
      </c>
      <c r="AE199" s="78">
        <v>34</v>
      </c>
      <c r="AF199" s="78">
        <v>15</v>
      </c>
      <c r="AG199" s="78">
        <v>12</v>
      </c>
      <c r="AH199" s="78">
        <v>50</v>
      </c>
      <c r="AI199" s="78">
        <v>63</v>
      </c>
      <c r="AJ199" s="78">
        <v>2</v>
      </c>
      <c r="AK199" s="78">
        <v>2</v>
      </c>
      <c r="AL199" s="78">
        <v>0</v>
      </c>
      <c r="AM199" s="78">
        <v>3</v>
      </c>
    </row>
    <row r="200" spans="2:39" x14ac:dyDescent="0.35">
      <c r="B200" t="str">
        <f t="shared" si="132"/>
        <v>Orange County-8</v>
      </c>
      <c r="C200" t="str">
        <f t="shared" si="133"/>
        <v>Dec 2025-Orange County-8</v>
      </c>
      <c r="D200">
        <f t="shared" ref="D200:D242" si="154">IF(V200="","",COUNTIFS($H$172:$H$242,H200,$E$172:$E$242,"&lt;"&amp;E200)+1)</f>
        <v>8</v>
      </c>
      <c r="E200">
        <f t="shared" si="134"/>
        <v>7.07</v>
      </c>
      <c r="F200">
        <f t="shared" ref="F200:F242" si="155">IF(V200="","",COUNTIFS($H$172:$H$242,H200,$V$172:$V$242,"&lt;"&amp;V200)+1)</f>
        <v>7</v>
      </c>
      <c r="G200">
        <f t="shared" ref="G200:G242" si="156">IF(V200="","",COUNTIFS($H$172:$H$242,H200,$Y$172:$Y$242,"&gt;"&amp;Y200)+1)</f>
        <v>7</v>
      </c>
      <c r="H200" t="str">
        <f>IF(V200="","",IFERROR(VLOOKUP(TRIM($V200),KEY!$B$2:$F$72,3,FALSE),""))</f>
        <v>Orange County</v>
      </c>
      <c r="I200" t="str">
        <f t="shared" si="135"/>
        <v>WEST-51</v>
      </c>
      <c r="J200" t="str">
        <f t="shared" si="127"/>
        <v>Feb 2026-WEST-51</v>
      </c>
      <c r="K200">
        <f t="shared" ref="K200:K242" si="157">IFERROR(IF(V200="","",RANK(L200,$L$172:$L$242,1)),"-")</f>
        <v>51</v>
      </c>
      <c r="L200">
        <f t="shared" si="136"/>
        <v>24.56</v>
      </c>
      <c r="M200">
        <f>IF(V200="","",IFERROR(VLOOKUP(TRIM($V200),KEY!$B$2:$F$72,5,FALSE),""))</f>
        <v>56</v>
      </c>
      <c r="N200">
        <f t="shared" ref="N200:N242" si="158">IFERROR(IF(V200="","",RANK(Y200,$Y$172:$Y$242)),"-")</f>
        <v>24</v>
      </c>
      <c r="O200" t="str">
        <f t="shared" si="137"/>
        <v>Subaru-1</v>
      </c>
      <c r="P200">
        <f t="shared" si="138"/>
        <v>1</v>
      </c>
      <c r="Q200">
        <f t="shared" si="139"/>
        <v>1.01</v>
      </c>
      <c r="R200">
        <f t="shared" ref="R200:R242" si="159">IF(V200="","",COUNTIFS($T$172:$T$242,T200,$V$172:$V$242,"&lt;"&amp;V200)+1)</f>
        <v>1</v>
      </c>
      <c r="S200">
        <f t="shared" ref="S200:S242" si="160">IF(V200="","",COUNTIFS($T$172:$T$242,T200,$Y$172:$Y$242,"&gt;"&amp;Y200)+1)</f>
        <v>1</v>
      </c>
      <c r="T200" t="str">
        <f>IF(V200="","",IFERROR(VLOOKUP(TRIM($V200),KEY!$B$2:$F$72,2,FALSE),""))</f>
        <v>Subaru</v>
      </c>
      <c r="V200" s="78" t="s">
        <v>175</v>
      </c>
      <c r="W200" s="78">
        <v>10</v>
      </c>
      <c r="X200" s="78">
        <v>0</v>
      </c>
      <c r="Y200" s="78">
        <v>0</v>
      </c>
      <c r="Z200" s="78">
        <v>0</v>
      </c>
      <c r="AA200" s="78">
        <v>0</v>
      </c>
      <c r="AB200" s="78">
        <v>0</v>
      </c>
      <c r="AC200" s="78">
        <v>1</v>
      </c>
      <c r="AD200" s="78">
        <v>1</v>
      </c>
      <c r="AE200" s="78">
        <v>10</v>
      </c>
      <c r="AF200" s="78">
        <v>0</v>
      </c>
      <c r="AG200" s="78">
        <v>0</v>
      </c>
      <c r="AH200" s="78">
        <v>9</v>
      </c>
      <c r="AI200" s="78">
        <v>90</v>
      </c>
      <c r="AJ200" s="78">
        <v>0</v>
      </c>
      <c r="AK200" s="78">
        <v>0</v>
      </c>
      <c r="AL200" s="78">
        <v>0</v>
      </c>
      <c r="AM200" s="78">
        <v>0</v>
      </c>
    </row>
    <row r="201" spans="2:39" x14ac:dyDescent="0.35">
      <c r="B201" t="str">
        <f t="shared" si="132"/>
        <v>Orange County-6</v>
      </c>
      <c r="C201" t="str">
        <f t="shared" si="133"/>
        <v>Dec 2025-Orange County-6</v>
      </c>
      <c r="D201">
        <f t="shared" si="154"/>
        <v>6</v>
      </c>
      <c r="E201">
        <f t="shared" si="134"/>
        <v>6.03</v>
      </c>
      <c r="F201">
        <f t="shared" si="155"/>
        <v>3</v>
      </c>
      <c r="G201">
        <f t="shared" si="156"/>
        <v>6</v>
      </c>
      <c r="H201" t="str">
        <f>IF(V201="","",IFERROR(VLOOKUP(TRIM($V201),KEY!$B$2:$F$72,3,FALSE),""))</f>
        <v>Orange County</v>
      </c>
      <c r="I201" t="str">
        <f t="shared" si="135"/>
        <v>WEST-22</v>
      </c>
      <c r="J201" t="str">
        <f t="shared" si="127"/>
        <v>Feb 2026-WEST-22</v>
      </c>
      <c r="K201">
        <f t="shared" si="157"/>
        <v>22</v>
      </c>
      <c r="L201">
        <f t="shared" si="136"/>
        <v>22.15</v>
      </c>
      <c r="M201">
        <f>IF(V201="","",IFERROR(VLOOKUP(TRIM($V201),KEY!$B$2:$F$72,5,FALSE),""))</f>
        <v>15</v>
      </c>
      <c r="N201">
        <f t="shared" si="158"/>
        <v>22</v>
      </c>
      <c r="O201" t="str">
        <f t="shared" si="137"/>
        <v>BMW-4</v>
      </c>
      <c r="P201">
        <f t="shared" si="138"/>
        <v>4</v>
      </c>
      <c r="Q201">
        <f t="shared" si="139"/>
        <v>4.05</v>
      </c>
      <c r="R201">
        <f t="shared" si="159"/>
        <v>5</v>
      </c>
      <c r="S201">
        <f t="shared" si="160"/>
        <v>4</v>
      </c>
      <c r="T201" t="str">
        <f>IF(V201="","",IFERROR(VLOOKUP(TRIM($V201),KEY!$B$2:$F$72,2,FALSE),""))</f>
        <v>BMW</v>
      </c>
      <c r="V201" s="78" t="s">
        <v>174</v>
      </c>
      <c r="W201" s="78">
        <v>34</v>
      </c>
      <c r="X201" s="78">
        <v>1</v>
      </c>
      <c r="Y201" s="78">
        <v>3</v>
      </c>
      <c r="Z201" s="78">
        <v>0</v>
      </c>
      <c r="AA201" s="78">
        <v>1</v>
      </c>
      <c r="AB201" s="78">
        <v>0</v>
      </c>
      <c r="AC201" s="78">
        <v>0</v>
      </c>
      <c r="AD201" s="78">
        <v>1</v>
      </c>
      <c r="AE201" s="78">
        <v>3</v>
      </c>
      <c r="AF201" s="78">
        <v>0</v>
      </c>
      <c r="AG201" s="78">
        <v>0</v>
      </c>
      <c r="AH201" s="78">
        <v>33</v>
      </c>
      <c r="AI201" s="78">
        <v>97</v>
      </c>
      <c r="AJ201" s="78">
        <v>0</v>
      </c>
      <c r="AK201" s="78">
        <v>0</v>
      </c>
      <c r="AL201" s="78">
        <v>0</v>
      </c>
      <c r="AM201" s="78">
        <v>0</v>
      </c>
    </row>
    <row r="202" spans="2:39" x14ac:dyDescent="0.35">
      <c r="B202" t="str">
        <f t="shared" si="132"/>
        <v>Orange County-3</v>
      </c>
      <c r="C202" t="str">
        <f t="shared" si="133"/>
        <v>Dec 2025-Orange County-3</v>
      </c>
      <c r="D202">
        <f t="shared" si="154"/>
        <v>3</v>
      </c>
      <c r="E202">
        <f t="shared" si="134"/>
        <v>3.02</v>
      </c>
      <c r="F202">
        <f t="shared" si="155"/>
        <v>2</v>
      </c>
      <c r="G202">
        <f t="shared" si="156"/>
        <v>3</v>
      </c>
      <c r="H202" t="str">
        <f>IF(V202="","",IFERROR(VLOOKUP(TRIM($V202),KEY!$B$2:$F$72,3,FALSE),""))</f>
        <v>Orange County</v>
      </c>
      <c r="I202" t="str">
        <f t="shared" si="135"/>
        <v>WEST-16</v>
      </c>
      <c r="J202" t="str">
        <f t="shared" si="127"/>
        <v>Feb 2026-WEST-16</v>
      </c>
      <c r="K202">
        <f t="shared" si="157"/>
        <v>16</v>
      </c>
      <c r="L202">
        <f t="shared" si="136"/>
        <v>16.079999999999998</v>
      </c>
      <c r="M202">
        <f>IF(V202="","",IFERROR(VLOOKUP(TRIM($V202),KEY!$B$2:$F$72,5,FALSE),""))</f>
        <v>8</v>
      </c>
      <c r="N202">
        <f t="shared" si="158"/>
        <v>16</v>
      </c>
      <c r="O202" t="str">
        <f t="shared" si="137"/>
        <v>Audi-2</v>
      </c>
      <c r="P202">
        <f t="shared" si="138"/>
        <v>2</v>
      </c>
      <c r="Q202">
        <f t="shared" si="139"/>
        <v>1.06</v>
      </c>
      <c r="R202">
        <f t="shared" si="159"/>
        <v>6</v>
      </c>
      <c r="S202">
        <f t="shared" si="160"/>
        <v>1</v>
      </c>
      <c r="T202" t="str">
        <f>IF(V202="","",IFERROR(VLOOKUP(TRIM($V202),KEY!$B$2:$F$72,2,FALSE),""))</f>
        <v>Audi</v>
      </c>
      <c r="V202" s="78" t="s">
        <v>177</v>
      </c>
      <c r="W202" s="78">
        <v>62</v>
      </c>
      <c r="X202" s="78">
        <v>10</v>
      </c>
      <c r="Y202" s="78">
        <v>16</v>
      </c>
      <c r="Z202" s="78">
        <v>1</v>
      </c>
      <c r="AA202" s="78">
        <v>10</v>
      </c>
      <c r="AB202" s="78">
        <v>0</v>
      </c>
      <c r="AC202" s="78">
        <v>2</v>
      </c>
      <c r="AD202" s="78">
        <v>13</v>
      </c>
      <c r="AE202" s="78">
        <v>21</v>
      </c>
      <c r="AF202" s="78">
        <v>5</v>
      </c>
      <c r="AG202" s="78">
        <v>10</v>
      </c>
      <c r="AH202" s="78">
        <v>30</v>
      </c>
      <c r="AI202" s="78">
        <v>73</v>
      </c>
      <c r="AJ202" s="78">
        <v>0</v>
      </c>
      <c r="AK202" s="78">
        <v>4</v>
      </c>
      <c r="AL202" s="78">
        <v>0</v>
      </c>
      <c r="AM202" s="78">
        <v>6</v>
      </c>
    </row>
    <row r="203" spans="2:39" x14ac:dyDescent="0.35">
      <c r="B203" t="str">
        <f t="shared" si="132"/>
        <v>Orange County-4</v>
      </c>
      <c r="C203" t="str">
        <f t="shared" si="133"/>
        <v>Dec 2025-Orange County-4</v>
      </c>
      <c r="D203">
        <f t="shared" si="154"/>
        <v>4</v>
      </c>
      <c r="E203">
        <f t="shared" si="134"/>
        <v>4.01</v>
      </c>
      <c r="F203">
        <f t="shared" si="155"/>
        <v>1</v>
      </c>
      <c r="G203">
        <f t="shared" si="156"/>
        <v>4</v>
      </c>
      <c r="H203" t="str">
        <f>IF(V203="","",IFERROR(VLOOKUP(TRIM($V203),KEY!$B$2:$F$72,3,FALSE),""))</f>
        <v>Orange County</v>
      </c>
      <c r="I203" t="str">
        <f t="shared" si="135"/>
        <v>WEST-19</v>
      </c>
      <c r="J203" t="str">
        <f t="shared" si="127"/>
        <v>Feb 2026-WEST-19</v>
      </c>
      <c r="K203">
        <f t="shared" si="157"/>
        <v>19</v>
      </c>
      <c r="L203">
        <f t="shared" si="136"/>
        <v>19.05</v>
      </c>
      <c r="M203">
        <f>IF(V203="","",IFERROR(VLOOKUP(TRIM($V203),KEY!$B$2:$F$72,5,FALSE),""))</f>
        <v>5</v>
      </c>
      <c r="N203">
        <f t="shared" si="158"/>
        <v>19</v>
      </c>
      <c r="O203" t="str">
        <f t="shared" si="137"/>
        <v>Audi-3</v>
      </c>
      <c r="P203">
        <f t="shared" si="138"/>
        <v>3</v>
      </c>
      <c r="Q203">
        <f t="shared" si="139"/>
        <v>2.0299999999999998</v>
      </c>
      <c r="R203">
        <f t="shared" si="159"/>
        <v>3</v>
      </c>
      <c r="S203">
        <f t="shared" si="160"/>
        <v>2</v>
      </c>
      <c r="T203" t="str">
        <f>IF(V203="","",IFERROR(VLOOKUP(TRIM($V203),KEY!$B$2:$F$72,2,FALSE),""))</f>
        <v>Audi</v>
      </c>
      <c r="V203" s="78" t="s">
        <v>178</v>
      </c>
      <c r="W203" s="78">
        <v>22</v>
      </c>
      <c r="X203" s="78">
        <v>2</v>
      </c>
      <c r="Y203" s="78">
        <v>9</v>
      </c>
      <c r="Z203" s="78">
        <v>0</v>
      </c>
      <c r="AA203" s="78">
        <v>2</v>
      </c>
      <c r="AB203" s="78">
        <v>0</v>
      </c>
      <c r="AC203" s="78">
        <v>0</v>
      </c>
      <c r="AD203" s="78">
        <v>2</v>
      </c>
      <c r="AE203" s="78">
        <v>9</v>
      </c>
      <c r="AF203" s="78">
        <v>0</v>
      </c>
      <c r="AG203" s="78">
        <v>0</v>
      </c>
      <c r="AH203" s="78">
        <v>19</v>
      </c>
      <c r="AI203" s="78">
        <v>86</v>
      </c>
      <c r="AJ203" s="78">
        <v>0</v>
      </c>
      <c r="AK203" s="78">
        <v>1</v>
      </c>
      <c r="AL203" s="78">
        <v>0</v>
      </c>
      <c r="AM203" s="78">
        <v>5</v>
      </c>
    </row>
    <row r="204" spans="2:39" x14ac:dyDescent="0.35">
      <c r="B204" t="str">
        <f t="shared" si="132"/>
        <v>Orange County-7</v>
      </c>
      <c r="C204" t="str">
        <f t="shared" si="133"/>
        <v>Dec 2025-Orange County-7</v>
      </c>
      <c r="D204">
        <f t="shared" si="154"/>
        <v>7</v>
      </c>
      <c r="E204">
        <f t="shared" si="134"/>
        <v>7.05</v>
      </c>
      <c r="F204">
        <f t="shared" si="155"/>
        <v>5</v>
      </c>
      <c r="G204">
        <f t="shared" si="156"/>
        <v>7</v>
      </c>
      <c r="H204" t="str">
        <f>IF(V204="","",IFERROR(VLOOKUP(TRIM($V204),KEY!$B$2:$F$72,3,FALSE),""))</f>
        <v>Orange County</v>
      </c>
      <c r="I204" t="str">
        <f t="shared" si="135"/>
        <v>WEST-33</v>
      </c>
      <c r="J204" t="str">
        <f t="shared" si="127"/>
        <v>Feb 2026-WEST-33</v>
      </c>
      <c r="K204">
        <f t="shared" si="157"/>
        <v>33</v>
      </c>
      <c r="L204">
        <f t="shared" si="136"/>
        <v>24.2</v>
      </c>
      <c r="M204">
        <f>IF(V204="","",IFERROR(VLOOKUP(TRIM($V204),KEY!$B$2:$F$72,5,FALSE),""))</f>
        <v>20</v>
      </c>
      <c r="N204">
        <f t="shared" si="158"/>
        <v>24</v>
      </c>
      <c r="O204" t="str">
        <f t="shared" si="137"/>
        <v>MINI-3</v>
      </c>
      <c r="P204">
        <f t="shared" si="138"/>
        <v>3</v>
      </c>
      <c r="Q204">
        <f t="shared" si="139"/>
        <v>2.0099999999999998</v>
      </c>
      <c r="R204">
        <f t="shared" si="159"/>
        <v>1</v>
      </c>
      <c r="S204">
        <f t="shared" si="160"/>
        <v>2</v>
      </c>
      <c r="T204" t="str">
        <f>IF(V204="","",IFERROR(VLOOKUP(TRIM($V204),KEY!$B$2:$F$72,2,FALSE),""))</f>
        <v>MINI</v>
      </c>
      <c r="V204" s="78" t="s">
        <v>179</v>
      </c>
      <c r="W204" s="78">
        <v>4</v>
      </c>
      <c r="X204" s="78">
        <v>0</v>
      </c>
      <c r="Y204" s="78">
        <v>0</v>
      </c>
      <c r="Z204" s="78">
        <v>0</v>
      </c>
      <c r="AA204" s="78">
        <v>0</v>
      </c>
      <c r="AB204" s="78">
        <v>0</v>
      </c>
      <c r="AC204" s="78">
        <v>0</v>
      </c>
      <c r="AD204" s="78">
        <v>0</v>
      </c>
      <c r="AE204" s="78">
        <v>0</v>
      </c>
      <c r="AF204" s="78">
        <v>3</v>
      </c>
      <c r="AG204" s="78">
        <v>0</v>
      </c>
      <c r="AH204" s="78">
        <v>1</v>
      </c>
      <c r="AI204" s="78">
        <v>100</v>
      </c>
      <c r="AJ204" s="78">
        <v>0</v>
      </c>
      <c r="AK204" s="78">
        <v>0</v>
      </c>
      <c r="AL204" s="78">
        <v>0</v>
      </c>
      <c r="AM204" s="78">
        <v>0</v>
      </c>
    </row>
    <row r="205" spans="2:39" x14ac:dyDescent="0.35">
      <c r="B205" t="str">
        <f t="shared" si="132"/>
        <v>Southern California-5</v>
      </c>
      <c r="C205" t="str">
        <f t="shared" si="133"/>
        <v>Dec 2025-Southern California-5</v>
      </c>
      <c r="D205">
        <f t="shared" si="154"/>
        <v>5</v>
      </c>
      <c r="E205">
        <f t="shared" si="134"/>
        <v>5.01</v>
      </c>
      <c r="F205">
        <f t="shared" si="155"/>
        <v>1</v>
      </c>
      <c r="G205">
        <f t="shared" si="156"/>
        <v>5</v>
      </c>
      <c r="H205" t="str">
        <f>IF(V205="","",IFERROR(VLOOKUP(TRIM($V205),KEY!$B$2:$F$72,3,FALSE),""))</f>
        <v>Southern California</v>
      </c>
      <c r="I205" t="str">
        <f t="shared" si="135"/>
        <v>WEST-25</v>
      </c>
      <c r="J205" t="str">
        <f t="shared" si="127"/>
        <v>Feb 2026-WEST-25</v>
      </c>
      <c r="K205">
        <f t="shared" si="157"/>
        <v>25</v>
      </c>
      <c r="L205">
        <f t="shared" si="136"/>
        <v>24.02</v>
      </c>
      <c r="M205">
        <f>IF(V205="","",IFERROR(VLOOKUP(TRIM($V205),KEY!$B$2:$F$72,5,FALSE),""))</f>
        <v>2</v>
      </c>
      <c r="N205">
        <f t="shared" si="158"/>
        <v>24</v>
      </c>
      <c r="O205" t="str">
        <f t="shared" si="137"/>
        <v>Acura-2</v>
      </c>
      <c r="P205">
        <f t="shared" si="138"/>
        <v>2</v>
      </c>
      <c r="Q205">
        <f t="shared" si="139"/>
        <v>1.02</v>
      </c>
      <c r="R205">
        <f t="shared" si="159"/>
        <v>2</v>
      </c>
      <c r="S205">
        <f t="shared" si="160"/>
        <v>1</v>
      </c>
      <c r="T205" t="str">
        <f>IF(V205="","",IFERROR(VLOOKUP(TRIM($V205),KEY!$B$2:$F$72,2,FALSE),""))</f>
        <v>Acura</v>
      </c>
      <c r="V205" s="78" t="s">
        <v>180</v>
      </c>
      <c r="W205" s="78">
        <v>7</v>
      </c>
      <c r="X205" s="78">
        <v>0</v>
      </c>
      <c r="Y205" s="78">
        <v>0</v>
      </c>
      <c r="Z205" s="78">
        <v>0</v>
      </c>
      <c r="AA205" s="78">
        <v>0</v>
      </c>
      <c r="AB205" s="78">
        <v>0</v>
      </c>
      <c r="AC205" s="78">
        <v>0</v>
      </c>
      <c r="AD205" s="78">
        <v>0</v>
      </c>
      <c r="AE205" s="78">
        <v>0</v>
      </c>
      <c r="AF205" s="78">
        <v>0</v>
      </c>
      <c r="AG205" s="78">
        <v>0</v>
      </c>
      <c r="AH205" s="78">
        <v>7</v>
      </c>
      <c r="AI205" s="78">
        <v>100</v>
      </c>
      <c r="AJ205" s="78">
        <v>0</v>
      </c>
      <c r="AK205" s="78">
        <v>0</v>
      </c>
      <c r="AL205" s="78">
        <v>0</v>
      </c>
      <c r="AM205" s="78">
        <v>0</v>
      </c>
    </row>
    <row r="206" spans="2:39" x14ac:dyDescent="0.35">
      <c r="B206" t="str">
        <f t="shared" si="132"/>
        <v>Southern California-7</v>
      </c>
      <c r="C206" t="str">
        <f t="shared" si="133"/>
        <v>Dec 2025-Southern California-7</v>
      </c>
      <c r="D206">
        <f t="shared" si="154"/>
        <v>7</v>
      </c>
      <c r="E206">
        <f t="shared" si="134"/>
        <v>5.05</v>
      </c>
      <c r="F206">
        <f t="shared" si="155"/>
        <v>5</v>
      </c>
      <c r="G206">
        <f t="shared" si="156"/>
        <v>5</v>
      </c>
      <c r="H206" t="str">
        <f>IF(V206="","",IFERROR(VLOOKUP(TRIM($V206),KEY!$B$2:$F$72,3,FALSE),""))</f>
        <v>Southern California</v>
      </c>
      <c r="I206" t="str">
        <f t="shared" si="135"/>
        <v>WEST-35</v>
      </c>
      <c r="J206" t="str">
        <f t="shared" si="127"/>
        <v>Feb 2026-WEST-35</v>
      </c>
      <c r="K206">
        <f t="shared" si="157"/>
        <v>35</v>
      </c>
      <c r="L206">
        <f t="shared" si="136"/>
        <v>24.25</v>
      </c>
      <c r="M206">
        <f>IF(V206="","",IFERROR(VLOOKUP(TRIM($V206),KEY!$B$2:$F$72,5,FALSE),""))</f>
        <v>25</v>
      </c>
      <c r="N206">
        <f t="shared" si="158"/>
        <v>24</v>
      </c>
      <c r="O206" t="str">
        <f t="shared" si="137"/>
        <v>Honda-5</v>
      </c>
      <c r="P206">
        <f t="shared" si="138"/>
        <v>5</v>
      </c>
      <c r="Q206">
        <f t="shared" si="139"/>
        <v>4.04</v>
      </c>
      <c r="R206">
        <f t="shared" si="159"/>
        <v>4</v>
      </c>
      <c r="S206">
        <f t="shared" si="160"/>
        <v>4</v>
      </c>
      <c r="T206" t="str">
        <f>IF(V206="","",IFERROR(VLOOKUP(TRIM($V206),KEY!$B$2:$F$72,2,FALSE),""))</f>
        <v>Honda</v>
      </c>
      <c r="V206" s="78" t="s">
        <v>181</v>
      </c>
      <c r="W206" s="78">
        <v>23</v>
      </c>
      <c r="X206" s="78">
        <v>0</v>
      </c>
      <c r="Y206" s="78">
        <v>0</v>
      </c>
      <c r="Z206" s="78">
        <v>0</v>
      </c>
      <c r="AA206" s="78">
        <v>0</v>
      </c>
      <c r="AB206" s="78">
        <v>0</v>
      </c>
      <c r="AC206" s="78">
        <v>0</v>
      </c>
      <c r="AD206" s="78">
        <v>0</v>
      </c>
      <c r="AE206" s="78">
        <v>0</v>
      </c>
      <c r="AF206" s="78">
        <v>0</v>
      </c>
      <c r="AG206" s="78">
        <v>0</v>
      </c>
      <c r="AH206" s="78">
        <v>23</v>
      </c>
      <c r="AI206" s="78">
        <v>100</v>
      </c>
      <c r="AJ206" s="78">
        <v>0</v>
      </c>
      <c r="AK206" s="78">
        <v>0</v>
      </c>
      <c r="AL206" s="78">
        <v>0</v>
      </c>
      <c r="AM206" s="78">
        <v>0</v>
      </c>
    </row>
    <row r="207" spans="2:39" x14ac:dyDescent="0.35">
      <c r="B207" t="str">
        <f t="shared" si="132"/>
        <v>Southern California-1</v>
      </c>
      <c r="C207" t="str">
        <f t="shared" si="133"/>
        <v>Dec 2025-Southern California-1</v>
      </c>
      <c r="D207">
        <f t="shared" si="154"/>
        <v>1</v>
      </c>
      <c r="E207">
        <f t="shared" si="134"/>
        <v>1.07</v>
      </c>
      <c r="F207">
        <f t="shared" si="155"/>
        <v>7</v>
      </c>
      <c r="G207">
        <f t="shared" si="156"/>
        <v>1</v>
      </c>
      <c r="H207" t="str">
        <f>IF(V207="","",IFERROR(VLOOKUP(TRIM($V207),KEY!$B$2:$F$72,3,FALSE),""))</f>
        <v>Southern California</v>
      </c>
      <c r="I207" t="str">
        <f t="shared" si="135"/>
        <v>WEST-11</v>
      </c>
      <c r="J207" t="str">
        <f t="shared" si="127"/>
        <v>Feb 2026-WEST-11</v>
      </c>
      <c r="K207">
        <f t="shared" si="157"/>
        <v>11</v>
      </c>
      <c r="L207">
        <f t="shared" si="136"/>
        <v>11.33</v>
      </c>
      <c r="M207">
        <f>IF(V207="","",IFERROR(VLOOKUP(TRIM($V207),KEY!$B$2:$F$72,5,FALSE),""))</f>
        <v>33</v>
      </c>
      <c r="N207">
        <f t="shared" si="158"/>
        <v>11</v>
      </c>
      <c r="O207" t="str">
        <f t="shared" si="137"/>
        <v>Lexus-4</v>
      </c>
      <c r="P207">
        <f t="shared" si="138"/>
        <v>4</v>
      </c>
      <c r="Q207">
        <f t="shared" si="139"/>
        <v>2.0299999999999998</v>
      </c>
      <c r="R207">
        <f t="shared" si="159"/>
        <v>3</v>
      </c>
      <c r="S207">
        <f t="shared" si="160"/>
        <v>2</v>
      </c>
      <c r="T207" t="str">
        <f>IF(V207="","",IFERROR(VLOOKUP(TRIM($V207),KEY!$B$2:$F$72,2,FALSE),""))</f>
        <v>Lexus</v>
      </c>
      <c r="V207" s="78" t="s">
        <v>182</v>
      </c>
      <c r="W207" s="78">
        <v>11</v>
      </c>
      <c r="X207" s="78">
        <v>3</v>
      </c>
      <c r="Y207" s="78">
        <v>27</v>
      </c>
      <c r="Z207" s="78">
        <v>0</v>
      </c>
      <c r="AA207" s="78">
        <v>3</v>
      </c>
      <c r="AB207" s="78">
        <v>0</v>
      </c>
      <c r="AC207" s="78">
        <v>0</v>
      </c>
      <c r="AD207" s="78">
        <v>3</v>
      </c>
      <c r="AE207" s="78">
        <v>27</v>
      </c>
      <c r="AF207" s="78">
        <v>5</v>
      </c>
      <c r="AG207" s="78">
        <v>0</v>
      </c>
      <c r="AH207" s="78">
        <v>3</v>
      </c>
      <c r="AI207" s="78">
        <v>73</v>
      </c>
      <c r="AJ207" s="78">
        <v>0</v>
      </c>
      <c r="AK207" s="78">
        <v>0</v>
      </c>
      <c r="AL207" s="78">
        <v>0</v>
      </c>
      <c r="AM207" s="78">
        <v>0</v>
      </c>
    </row>
    <row r="208" spans="2:39" x14ac:dyDescent="0.35">
      <c r="B208" t="str">
        <f t="shared" si="132"/>
        <v>Southern California-8</v>
      </c>
      <c r="C208" t="str">
        <f t="shared" si="133"/>
        <v>Dec 2025-Southern California-8</v>
      </c>
      <c r="D208">
        <f t="shared" si="154"/>
        <v>8</v>
      </c>
      <c r="E208">
        <f t="shared" si="134"/>
        <v>5.0599999999999996</v>
      </c>
      <c r="F208">
        <f t="shared" si="155"/>
        <v>6</v>
      </c>
      <c r="G208">
        <f t="shared" si="156"/>
        <v>5</v>
      </c>
      <c r="H208" t="str">
        <f>IF(V208="","",IFERROR(VLOOKUP(TRIM($V208),KEY!$B$2:$F$72,3,FALSE),""))</f>
        <v>Southern California</v>
      </c>
      <c r="I208" t="str">
        <f t="shared" si="135"/>
        <v>WEST-36</v>
      </c>
      <c r="J208" t="str">
        <f t="shared" si="127"/>
        <v>Feb 2026-WEST-36</v>
      </c>
      <c r="K208">
        <f t="shared" si="157"/>
        <v>36</v>
      </c>
      <c r="L208">
        <f t="shared" si="136"/>
        <v>24.26</v>
      </c>
      <c r="M208">
        <f>IF(V208="","",IFERROR(VLOOKUP(TRIM($V208),KEY!$B$2:$F$72,5,FALSE),""))</f>
        <v>26</v>
      </c>
      <c r="N208">
        <f t="shared" si="158"/>
        <v>24</v>
      </c>
      <c r="O208" t="str">
        <f t="shared" si="137"/>
        <v>Toyota-3</v>
      </c>
      <c r="P208">
        <f t="shared" si="138"/>
        <v>3</v>
      </c>
      <c r="Q208">
        <f t="shared" si="139"/>
        <v>3.02</v>
      </c>
      <c r="R208">
        <f t="shared" si="159"/>
        <v>2</v>
      </c>
      <c r="S208">
        <f t="shared" si="160"/>
        <v>3</v>
      </c>
      <c r="T208" t="str">
        <f>IF(V208="","",IFERROR(VLOOKUP(TRIM($V208),KEY!$B$2:$F$72,2,FALSE),""))</f>
        <v>Toyota</v>
      </c>
      <c r="V208" s="78" t="s">
        <v>183</v>
      </c>
      <c r="W208" s="78">
        <v>7</v>
      </c>
      <c r="X208" s="78">
        <v>0</v>
      </c>
      <c r="Y208" s="78">
        <v>0</v>
      </c>
      <c r="Z208" s="78">
        <v>0</v>
      </c>
      <c r="AA208" s="78">
        <v>0</v>
      </c>
      <c r="AB208" s="78">
        <v>0</v>
      </c>
      <c r="AC208" s="78">
        <v>0</v>
      </c>
      <c r="AD208" s="78">
        <v>0</v>
      </c>
      <c r="AE208" s="78">
        <v>0</v>
      </c>
      <c r="AF208" s="78">
        <v>2</v>
      </c>
      <c r="AG208" s="78">
        <v>0</v>
      </c>
      <c r="AH208" s="78">
        <v>5</v>
      </c>
      <c r="AI208" s="78">
        <v>100</v>
      </c>
      <c r="AJ208" s="78">
        <v>0</v>
      </c>
      <c r="AK208" s="78">
        <v>0</v>
      </c>
      <c r="AL208" s="78">
        <v>0</v>
      </c>
      <c r="AM208" s="78">
        <v>0</v>
      </c>
    </row>
    <row r="209" spans="2:39" x14ac:dyDescent="0.35">
      <c r="B209" t="str">
        <f t="shared" si="132"/>
        <v>Southern California-4</v>
      </c>
      <c r="C209" t="str">
        <f t="shared" si="133"/>
        <v>Dec 2025-Southern California-4</v>
      </c>
      <c r="D209">
        <f t="shared" si="154"/>
        <v>4</v>
      </c>
      <c r="E209">
        <f t="shared" si="134"/>
        <v>4.04</v>
      </c>
      <c r="F209">
        <f t="shared" si="155"/>
        <v>4</v>
      </c>
      <c r="G209">
        <f t="shared" si="156"/>
        <v>4</v>
      </c>
      <c r="H209" t="str">
        <f>IF(V209="","",IFERROR(VLOOKUP(TRIM($V209),KEY!$B$2:$F$72,3,FALSE),""))</f>
        <v>Southern California</v>
      </c>
      <c r="I209" t="str">
        <f t="shared" si="135"/>
        <v>WEST-23</v>
      </c>
      <c r="J209" t="str">
        <f t="shared" si="127"/>
        <v>Feb 2026-WEST-23</v>
      </c>
      <c r="K209">
        <f t="shared" si="157"/>
        <v>23</v>
      </c>
      <c r="L209">
        <f t="shared" si="136"/>
        <v>23.16</v>
      </c>
      <c r="M209">
        <f>IF(V209="","",IFERROR(VLOOKUP(TRIM($V209),KEY!$B$2:$F$72,5,FALSE),""))</f>
        <v>16</v>
      </c>
      <c r="N209">
        <f t="shared" si="158"/>
        <v>23</v>
      </c>
      <c r="O209" t="str">
        <f t="shared" si="137"/>
        <v>BMW-6</v>
      </c>
      <c r="P209">
        <f t="shared" si="138"/>
        <v>6</v>
      </c>
      <c r="Q209">
        <f t="shared" si="139"/>
        <v>5.0599999999999996</v>
      </c>
      <c r="R209">
        <f t="shared" si="159"/>
        <v>6</v>
      </c>
      <c r="S209">
        <f t="shared" si="160"/>
        <v>5</v>
      </c>
      <c r="T209" t="str">
        <f>IF(V209="","",IFERROR(VLOOKUP(TRIM($V209),KEY!$B$2:$F$72,2,FALSE),""))</f>
        <v>BMW</v>
      </c>
      <c r="V209" s="78" t="s">
        <v>186</v>
      </c>
      <c r="W209" s="78">
        <v>43</v>
      </c>
      <c r="X209" s="78">
        <v>1</v>
      </c>
      <c r="Y209" s="78">
        <v>2</v>
      </c>
      <c r="Z209" s="78">
        <v>1</v>
      </c>
      <c r="AA209" s="78">
        <v>1</v>
      </c>
      <c r="AB209" s="78">
        <v>0</v>
      </c>
      <c r="AC209" s="78">
        <v>0</v>
      </c>
      <c r="AD209" s="78">
        <v>2</v>
      </c>
      <c r="AE209" s="78">
        <v>5</v>
      </c>
      <c r="AF209" s="78">
        <v>0</v>
      </c>
      <c r="AG209" s="78">
        <v>0</v>
      </c>
      <c r="AH209" s="78">
        <v>41</v>
      </c>
      <c r="AI209" s="78">
        <v>95</v>
      </c>
      <c r="AJ209" s="78">
        <v>0</v>
      </c>
      <c r="AK209" s="78">
        <v>0</v>
      </c>
      <c r="AL209" s="78">
        <v>0</v>
      </c>
      <c r="AM209" s="78">
        <v>0</v>
      </c>
    </row>
    <row r="210" spans="2:39" x14ac:dyDescent="0.35">
      <c r="B210" t="str">
        <f t="shared" si="132"/>
        <v>Southern California-3</v>
      </c>
      <c r="C210" t="str">
        <f t="shared" si="133"/>
        <v>Dec 2025-Southern California-3</v>
      </c>
      <c r="D210">
        <f t="shared" si="154"/>
        <v>3</v>
      </c>
      <c r="E210">
        <f t="shared" si="134"/>
        <v>3.03</v>
      </c>
      <c r="F210">
        <f t="shared" si="155"/>
        <v>3</v>
      </c>
      <c r="G210">
        <f t="shared" si="156"/>
        <v>3</v>
      </c>
      <c r="H210" t="str">
        <f>IF(V210="","",IFERROR(VLOOKUP(TRIM($V210),KEY!$B$2:$F$72,3,FALSE),""))</f>
        <v>Southern California</v>
      </c>
      <c r="I210" t="str">
        <f t="shared" si="135"/>
        <v>WEST-15</v>
      </c>
      <c r="J210" t="str">
        <f t="shared" si="127"/>
        <v>Feb 2026-WEST-15</v>
      </c>
      <c r="K210">
        <f t="shared" si="157"/>
        <v>15</v>
      </c>
      <c r="L210">
        <f t="shared" si="136"/>
        <v>15.14</v>
      </c>
      <c r="M210">
        <f>IF(V210="","",IFERROR(VLOOKUP(TRIM($V210),KEY!$B$2:$F$72,5,FALSE),""))</f>
        <v>14</v>
      </c>
      <c r="N210">
        <f t="shared" si="158"/>
        <v>15</v>
      </c>
      <c r="O210" t="str">
        <f t="shared" si="137"/>
        <v>BMW-3</v>
      </c>
      <c r="P210">
        <f t="shared" si="138"/>
        <v>3</v>
      </c>
      <c r="Q210">
        <f t="shared" si="139"/>
        <v>2.04</v>
      </c>
      <c r="R210">
        <f t="shared" si="159"/>
        <v>4</v>
      </c>
      <c r="S210">
        <f t="shared" si="160"/>
        <v>2</v>
      </c>
      <c r="T210" t="str">
        <f>IF(V210="","",IFERROR(VLOOKUP(TRIM($V210),KEY!$B$2:$F$72,2,FALSE),""))</f>
        <v>BMW</v>
      </c>
      <c r="V210" s="78" t="s">
        <v>185</v>
      </c>
      <c r="W210" s="78">
        <v>11</v>
      </c>
      <c r="X210" s="78">
        <v>2</v>
      </c>
      <c r="Y210" s="78">
        <v>18</v>
      </c>
      <c r="Z210" s="78">
        <v>0</v>
      </c>
      <c r="AA210" s="78">
        <v>2</v>
      </c>
      <c r="AB210" s="78">
        <v>0</v>
      </c>
      <c r="AC210" s="78">
        <v>0</v>
      </c>
      <c r="AD210" s="78">
        <v>2</v>
      </c>
      <c r="AE210" s="78">
        <v>18</v>
      </c>
      <c r="AF210" s="78">
        <v>9</v>
      </c>
      <c r="AG210" s="78">
        <v>0</v>
      </c>
      <c r="AH210" s="78">
        <v>0</v>
      </c>
      <c r="AI210" s="78">
        <v>82</v>
      </c>
      <c r="AJ210" s="78">
        <v>0</v>
      </c>
      <c r="AK210" s="78">
        <v>0</v>
      </c>
      <c r="AL210" s="78">
        <v>0</v>
      </c>
      <c r="AM210" s="78">
        <v>0</v>
      </c>
    </row>
    <row r="211" spans="2:39" x14ac:dyDescent="0.35">
      <c r="B211" t="str">
        <f t="shared" si="132"/>
        <v>Southern California-2</v>
      </c>
      <c r="C211" t="str">
        <f t="shared" si="133"/>
        <v>Dec 2025-Southern California-2</v>
      </c>
      <c r="D211">
        <f t="shared" si="154"/>
        <v>2</v>
      </c>
      <c r="E211">
        <f t="shared" si="134"/>
        <v>2.09</v>
      </c>
      <c r="F211">
        <f t="shared" si="155"/>
        <v>9</v>
      </c>
      <c r="G211">
        <f t="shared" si="156"/>
        <v>2</v>
      </c>
      <c r="H211" t="str">
        <f>IF(V211="","",IFERROR(VLOOKUP(TRIM($V211),KEY!$B$2:$F$72,3,FALSE),""))</f>
        <v>Southern California</v>
      </c>
      <c r="I211" t="str">
        <f t="shared" si="135"/>
        <v>WEST-14</v>
      </c>
      <c r="J211" t="str">
        <f t="shared" si="127"/>
        <v>Feb 2026-WEST-14</v>
      </c>
      <c r="K211">
        <f t="shared" si="157"/>
        <v>14</v>
      </c>
      <c r="L211">
        <f t="shared" si="136"/>
        <v>14.38</v>
      </c>
      <c r="M211">
        <f>IF(V211="","",IFERROR(VLOOKUP(TRIM($V211),KEY!$B$2:$F$72,5,FALSE),""))</f>
        <v>38</v>
      </c>
      <c r="N211">
        <f t="shared" si="158"/>
        <v>14</v>
      </c>
      <c r="O211" t="str">
        <f t="shared" si="137"/>
        <v>Mercedes-Benz-2</v>
      </c>
      <c r="P211">
        <f t="shared" si="138"/>
        <v>2</v>
      </c>
      <c r="Q211">
        <f t="shared" si="139"/>
        <v>2.0299999999999998</v>
      </c>
      <c r="R211">
        <f t="shared" si="159"/>
        <v>3</v>
      </c>
      <c r="S211">
        <f t="shared" si="160"/>
        <v>2</v>
      </c>
      <c r="T211" t="str">
        <f>IF(V211="","",IFERROR(VLOOKUP(TRIM($V211),KEY!$B$2:$F$72,2,FALSE),""))</f>
        <v>Mercedes-Benz</v>
      </c>
      <c r="V211" s="78" t="s">
        <v>187</v>
      </c>
      <c r="W211" s="78">
        <v>28</v>
      </c>
      <c r="X211" s="78">
        <v>6</v>
      </c>
      <c r="Y211" s="78">
        <v>21</v>
      </c>
      <c r="Z211" s="78">
        <v>1</v>
      </c>
      <c r="AA211" s="78">
        <v>6</v>
      </c>
      <c r="AB211" s="78">
        <v>0</v>
      </c>
      <c r="AC211" s="78">
        <v>0</v>
      </c>
      <c r="AD211" s="78">
        <v>7</v>
      </c>
      <c r="AE211" s="78">
        <v>25</v>
      </c>
      <c r="AF211" s="78">
        <v>13</v>
      </c>
      <c r="AG211" s="78">
        <v>0</v>
      </c>
      <c r="AH211" s="78">
        <v>7</v>
      </c>
      <c r="AI211" s="78">
        <v>71</v>
      </c>
      <c r="AJ211" s="78">
        <v>1</v>
      </c>
      <c r="AK211" s="78">
        <v>0</v>
      </c>
      <c r="AL211" s="78">
        <v>0</v>
      </c>
      <c r="AM211" s="78">
        <v>4</v>
      </c>
    </row>
    <row r="212" spans="2:39" x14ac:dyDescent="0.35">
      <c r="B212" t="str">
        <f t="shared" si="132"/>
        <v>Southern California-9</v>
      </c>
      <c r="C212" t="str">
        <f t="shared" si="133"/>
        <v>Dec 2025-Southern California-9</v>
      </c>
      <c r="D212">
        <f t="shared" si="154"/>
        <v>9</v>
      </c>
      <c r="E212">
        <f t="shared" si="134"/>
        <v>5.08</v>
      </c>
      <c r="F212">
        <f t="shared" si="155"/>
        <v>8</v>
      </c>
      <c r="G212">
        <f t="shared" si="156"/>
        <v>5</v>
      </c>
      <c r="H212" t="str">
        <f>IF(V212="","",IFERROR(VLOOKUP(TRIM($V212),KEY!$B$2:$F$72,3,FALSE),""))</f>
        <v>Southern California</v>
      </c>
      <c r="I212" t="str">
        <f t="shared" si="135"/>
        <v>WEST-39</v>
      </c>
      <c r="J212" t="str">
        <f t="shared" si="127"/>
        <v>Feb 2026-WEST-39</v>
      </c>
      <c r="K212">
        <f t="shared" si="157"/>
        <v>39</v>
      </c>
      <c r="L212">
        <f t="shared" si="136"/>
        <v>24.35</v>
      </c>
      <c r="M212">
        <f>IF(V212="","",IFERROR(VLOOKUP(TRIM($V212),KEY!$B$2:$F$72,5,FALSE),""))</f>
        <v>35</v>
      </c>
      <c r="N212">
        <f t="shared" si="158"/>
        <v>24</v>
      </c>
      <c r="O212" t="str">
        <f t="shared" si="137"/>
        <v>Mazda-1</v>
      </c>
      <c r="P212">
        <f t="shared" si="138"/>
        <v>1</v>
      </c>
      <c r="Q212">
        <f t="shared" si="139"/>
        <v>1.01</v>
      </c>
      <c r="R212">
        <f t="shared" si="159"/>
        <v>1</v>
      </c>
      <c r="S212">
        <f t="shared" si="160"/>
        <v>1</v>
      </c>
      <c r="T212" t="str">
        <f>IF(V212="","",IFERROR(VLOOKUP(TRIM($V212),KEY!$B$2:$F$72,2,FALSE),""))</f>
        <v>Mazda</v>
      </c>
      <c r="V212" s="78" t="s">
        <v>184</v>
      </c>
      <c r="W212" s="78">
        <v>12</v>
      </c>
      <c r="X212" s="78">
        <v>0</v>
      </c>
      <c r="Y212" s="78">
        <v>0</v>
      </c>
      <c r="Z212" s="78">
        <v>0</v>
      </c>
      <c r="AA212" s="78">
        <v>0</v>
      </c>
      <c r="AB212" s="78">
        <v>0</v>
      </c>
      <c r="AC212" s="78">
        <v>0</v>
      </c>
      <c r="AD212" s="78">
        <v>0</v>
      </c>
      <c r="AE212" s="78">
        <v>0</v>
      </c>
      <c r="AF212" s="78">
        <v>0</v>
      </c>
      <c r="AG212" s="78">
        <v>0</v>
      </c>
      <c r="AH212" s="78">
        <v>12</v>
      </c>
      <c r="AI212" s="78">
        <v>100</v>
      </c>
      <c r="AJ212" s="78">
        <v>0</v>
      </c>
      <c r="AK212" s="78">
        <v>0</v>
      </c>
      <c r="AL212" s="78">
        <v>0</v>
      </c>
      <c r="AM212" s="78">
        <v>0</v>
      </c>
    </row>
    <row r="213" spans="2:39" x14ac:dyDescent="0.35">
      <c r="B213" t="str">
        <f t="shared" si="132"/>
        <v>Southern California-6</v>
      </c>
      <c r="C213" t="str">
        <f t="shared" si="133"/>
        <v>Dec 2025-Southern California-6</v>
      </c>
      <c r="D213">
        <f t="shared" si="154"/>
        <v>6</v>
      </c>
      <c r="E213">
        <f t="shared" si="134"/>
        <v>5.0199999999999996</v>
      </c>
      <c r="F213">
        <f t="shared" si="155"/>
        <v>2</v>
      </c>
      <c r="G213">
        <f t="shared" si="156"/>
        <v>5</v>
      </c>
      <c r="H213" t="str">
        <f>IF(V213="","",IFERROR(VLOOKUP(TRIM($V213),KEY!$B$2:$F$72,3,FALSE),""))</f>
        <v>Southern California</v>
      </c>
      <c r="I213" t="str">
        <f t="shared" si="135"/>
        <v>WEST-27</v>
      </c>
      <c r="J213" t="str">
        <f t="shared" si="127"/>
        <v>Feb 2026-WEST-27</v>
      </c>
      <c r="K213">
        <f t="shared" si="157"/>
        <v>27</v>
      </c>
      <c r="L213">
        <f t="shared" si="136"/>
        <v>24.04</v>
      </c>
      <c r="M213">
        <f>IF(V213="","",IFERROR(VLOOKUP(TRIM($V213),KEY!$B$2:$F$72,5,FALSE),""))</f>
        <v>4</v>
      </c>
      <c r="N213">
        <f t="shared" si="158"/>
        <v>24</v>
      </c>
      <c r="O213" t="str">
        <f t="shared" si="137"/>
        <v>Audi-4</v>
      </c>
      <c r="P213">
        <f t="shared" si="138"/>
        <v>4</v>
      </c>
      <c r="Q213">
        <f t="shared" si="139"/>
        <v>4.0199999999999996</v>
      </c>
      <c r="R213">
        <f t="shared" si="159"/>
        <v>2</v>
      </c>
      <c r="S213">
        <f t="shared" si="160"/>
        <v>4</v>
      </c>
      <c r="T213" t="str">
        <f>IF(V213="","",IFERROR(VLOOKUP(TRIM($V213),KEY!$B$2:$F$72,2,FALSE),""))</f>
        <v>Audi</v>
      </c>
      <c r="V213" s="78" t="s">
        <v>188</v>
      </c>
      <c r="W213" s="78">
        <v>15</v>
      </c>
      <c r="X213" s="78">
        <v>0</v>
      </c>
      <c r="Y213" s="78">
        <v>0</v>
      </c>
      <c r="Z213" s="78">
        <v>0</v>
      </c>
      <c r="AA213" s="78">
        <v>0</v>
      </c>
      <c r="AB213" s="78">
        <v>0</v>
      </c>
      <c r="AC213" s="78">
        <v>0</v>
      </c>
      <c r="AD213" s="78">
        <v>0</v>
      </c>
      <c r="AE213" s="78">
        <v>0</v>
      </c>
      <c r="AF213" s="78">
        <v>0</v>
      </c>
      <c r="AG213" s="78">
        <v>0</v>
      </c>
      <c r="AH213" s="78">
        <v>15</v>
      </c>
      <c r="AI213" s="78">
        <v>100</v>
      </c>
      <c r="AJ213" s="78">
        <v>0</v>
      </c>
      <c r="AK213" s="78">
        <v>0</v>
      </c>
      <c r="AL213" s="78">
        <v>0</v>
      </c>
      <c r="AM213" s="78">
        <v>0</v>
      </c>
    </row>
    <row r="214" spans="2:39" x14ac:dyDescent="0.35">
      <c r="B214" t="str">
        <f t="shared" si="132"/>
        <v>Southern California-10</v>
      </c>
      <c r="C214" t="str">
        <f t="shared" si="133"/>
        <v>Dec 2025-Southern California-10</v>
      </c>
      <c r="D214">
        <f t="shared" si="154"/>
        <v>10</v>
      </c>
      <c r="E214">
        <f t="shared" si="134"/>
        <v>5.0999999999999996</v>
      </c>
      <c r="F214">
        <f t="shared" si="155"/>
        <v>10</v>
      </c>
      <c r="G214">
        <f t="shared" si="156"/>
        <v>5</v>
      </c>
      <c r="H214" t="str">
        <f>IF(V214="","",IFERROR(VLOOKUP(TRIM($V214),KEY!$B$2:$F$72,3,FALSE),""))</f>
        <v>Southern California</v>
      </c>
      <c r="I214" t="str">
        <f t="shared" si="135"/>
        <v>WEST-42</v>
      </c>
      <c r="J214" t="str">
        <f t="shared" si="127"/>
        <v>Feb 2026-WEST-42</v>
      </c>
      <c r="K214">
        <f t="shared" si="157"/>
        <v>42</v>
      </c>
      <c r="L214">
        <f t="shared" si="136"/>
        <v>24.43</v>
      </c>
      <c r="M214">
        <f>IF(V214="","",IFERROR(VLOOKUP(TRIM($V214),KEY!$B$2:$F$72,5,FALSE),""))</f>
        <v>43</v>
      </c>
      <c r="N214">
        <f t="shared" si="158"/>
        <v>24</v>
      </c>
      <c r="O214" t="str">
        <f t="shared" si="137"/>
        <v>MINI-3</v>
      </c>
      <c r="P214">
        <f t="shared" si="138"/>
        <v>3</v>
      </c>
      <c r="Q214">
        <f t="shared" si="139"/>
        <v>2.0499999999999998</v>
      </c>
      <c r="R214">
        <f t="shared" si="159"/>
        <v>5</v>
      </c>
      <c r="S214">
        <f t="shared" si="160"/>
        <v>2</v>
      </c>
      <c r="T214" t="str">
        <f>IF(V214="","",IFERROR(VLOOKUP(TRIM($V214),KEY!$B$2:$F$72,2,FALSE),""))</f>
        <v>MINI</v>
      </c>
      <c r="V214" s="78" t="s">
        <v>189</v>
      </c>
      <c r="W214" s="78">
        <v>2</v>
      </c>
      <c r="X214" s="78">
        <v>0</v>
      </c>
      <c r="Y214" s="78">
        <v>0</v>
      </c>
      <c r="Z214" s="78">
        <v>0</v>
      </c>
      <c r="AA214" s="78">
        <v>0</v>
      </c>
      <c r="AB214" s="78">
        <v>0</v>
      </c>
      <c r="AC214" s="78">
        <v>0</v>
      </c>
      <c r="AD214" s="78">
        <v>0</v>
      </c>
      <c r="AE214" s="78">
        <v>0</v>
      </c>
      <c r="AF214" s="78">
        <v>2</v>
      </c>
      <c r="AG214" s="78">
        <v>0</v>
      </c>
      <c r="AH214" s="78">
        <v>0</v>
      </c>
      <c r="AI214" s="78">
        <v>100</v>
      </c>
      <c r="AJ214" s="78">
        <v>0</v>
      </c>
      <c r="AK214" s="78">
        <v>0</v>
      </c>
      <c r="AL214" s="78">
        <v>0</v>
      </c>
      <c r="AM214" s="78">
        <v>0</v>
      </c>
    </row>
    <row r="215" spans="2:39" x14ac:dyDescent="0.35">
      <c r="B215" t="str">
        <f t="shared" si="132"/>
        <v>Texas-1</v>
      </c>
      <c r="C215" t="str">
        <f t="shared" si="133"/>
        <v>Dec 2025-Texas-1</v>
      </c>
      <c r="D215">
        <f t="shared" si="154"/>
        <v>1</v>
      </c>
      <c r="E215">
        <f t="shared" si="134"/>
        <v>1.03</v>
      </c>
      <c r="F215">
        <f t="shared" si="155"/>
        <v>3</v>
      </c>
      <c r="G215">
        <f t="shared" si="156"/>
        <v>1</v>
      </c>
      <c r="H215" t="str">
        <f>IF(V215="","",IFERROR(VLOOKUP(TRIM($V215),KEY!$B$2:$F$72,3,FALSE),""))</f>
        <v>Texas</v>
      </c>
      <c r="I215" t="str">
        <f t="shared" si="135"/>
        <v>WEST-2</v>
      </c>
      <c r="J215" t="str">
        <f t="shared" si="127"/>
        <v>Feb 2026-WEST-2</v>
      </c>
      <c r="K215">
        <f t="shared" si="157"/>
        <v>2</v>
      </c>
      <c r="L215">
        <f t="shared" si="136"/>
        <v>2.23</v>
      </c>
      <c r="M215">
        <f>IF(V215="","",IFERROR(VLOOKUP(TRIM($V215),KEY!$B$2:$F$72,5,FALSE),""))</f>
        <v>23</v>
      </c>
      <c r="N215">
        <f t="shared" si="158"/>
        <v>2</v>
      </c>
      <c r="O215" t="str">
        <f t="shared" si="137"/>
        <v>Honda-1</v>
      </c>
      <c r="P215">
        <f t="shared" si="138"/>
        <v>1</v>
      </c>
      <c r="Q215">
        <f t="shared" si="139"/>
        <v>1.02</v>
      </c>
      <c r="R215">
        <f t="shared" si="159"/>
        <v>2</v>
      </c>
      <c r="S215">
        <f t="shared" si="160"/>
        <v>1</v>
      </c>
      <c r="T215" t="str">
        <f>IF(V215="","",IFERROR(VLOOKUP(TRIM($V215),KEY!$B$2:$F$72,2,FALSE),""))</f>
        <v>Honda</v>
      </c>
      <c r="V215" s="78" t="s">
        <v>191</v>
      </c>
      <c r="W215" s="78">
        <v>10</v>
      </c>
      <c r="X215" s="78">
        <v>5</v>
      </c>
      <c r="Y215" s="78">
        <v>50</v>
      </c>
      <c r="Z215" s="78">
        <v>2</v>
      </c>
      <c r="AA215" s="78">
        <v>5</v>
      </c>
      <c r="AB215" s="78">
        <v>0</v>
      </c>
      <c r="AC215" s="78">
        <v>0</v>
      </c>
      <c r="AD215" s="78">
        <v>7</v>
      </c>
      <c r="AE215" s="78">
        <v>70</v>
      </c>
      <c r="AF215" s="78">
        <v>0</v>
      </c>
      <c r="AG215" s="78">
        <v>0</v>
      </c>
      <c r="AH215" s="78">
        <v>3</v>
      </c>
      <c r="AI215" s="78">
        <v>30</v>
      </c>
      <c r="AJ215" s="78">
        <v>0</v>
      </c>
      <c r="AK215" s="78">
        <v>0</v>
      </c>
      <c r="AL215" s="78">
        <v>0</v>
      </c>
      <c r="AM215" s="78">
        <v>0</v>
      </c>
    </row>
    <row r="216" spans="2:39" x14ac:dyDescent="0.35">
      <c r="B216" t="str">
        <f t="shared" si="132"/>
        <v>Texas-8</v>
      </c>
      <c r="C216" t="str">
        <f t="shared" si="133"/>
        <v>Dec 2025-Texas-8</v>
      </c>
      <c r="D216">
        <f t="shared" si="154"/>
        <v>8</v>
      </c>
      <c r="E216">
        <f t="shared" si="134"/>
        <v>5.07</v>
      </c>
      <c r="F216">
        <f t="shared" si="155"/>
        <v>7</v>
      </c>
      <c r="G216">
        <f t="shared" si="156"/>
        <v>5</v>
      </c>
      <c r="H216" t="str">
        <f>IF(V216="","",IFERROR(VLOOKUP(TRIM($V216),KEY!$B$2:$F$72,3,FALSE),""))</f>
        <v>Texas</v>
      </c>
      <c r="I216" t="str">
        <f t="shared" si="135"/>
        <v>WEST-48</v>
      </c>
      <c r="J216" t="str">
        <f t="shared" si="127"/>
        <v>Feb 2026-WEST-48</v>
      </c>
      <c r="K216">
        <f t="shared" si="157"/>
        <v>48</v>
      </c>
      <c r="L216">
        <f t="shared" si="136"/>
        <v>24.52</v>
      </c>
      <c r="M216">
        <f>IF(V216="","",IFERROR(VLOOKUP(TRIM($V216),KEY!$B$2:$F$72,5,FALSE),""))</f>
        <v>52</v>
      </c>
      <c r="N216">
        <f t="shared" si="158"/>
        <v>24</v>
      </c>
      <c r="O216" t="str">
        <f t="shared" si="137"/>
        <v>Honda-5</v>
      </c>
      <c r="P216">
        <f t="shared" si="138"/>
        <v>5</v>
      </c>
      <c r="Q216">
        <f t="shared" si="139"/>
        <v>4.0599999999999996</v>
      </c>
      <c r="R216">
        <f t="shared" si="159"/>
        <v>6</v>
      </c>
      <c r="S216">
        <f t="shared" si="160"/>
        <v>4</v>
      </c>
      <c r="T216" t="str">
        <f>IF(V216="","",IFERROR(VLOOKUP(TRIM($V216),KEY!$B$2:$F$72,2,FALSE),""))</f>
        <v>Honda</v>
      </c>
      <c r="V216" s="78" t="s">
        <v>190</v>
      </c>
      <c r="W216" s="78">
        <v>19</v>
      </c>
      <c r="X216" s="78">
        <v>0</v>
      </c>
      <c r="Y216" s="78">
        <v>0</v>
      </c>
      <c r="Z216" s="78">
        <v>0</v>
      </c>
      <c r="AA216" s="78">
        <v>0</v>
      </c>
      <c r="AB216" s="78">
        <v>0</v>
      </c>
      <c r="AC216" s="78">
        <v>0</v>
      </c>
      <c r="AD216" s="78">
        <v>0</v>
      </c>
      <c r="AE216" s="78">
        <v>0</v>
      </c>
      <c r="AF216" s="78">
        <v>0</v>
      </c>
      <c r="AG216" s="78">
        <v>0</v>
      </c>
      <c r="AH216" s="78">
        <v>19</v>
      </c>
      <c r="AI216" s="78">
        <v>100</v>
      </c>
      <c r="AJ216" s="78">
        <v>0</v>
      </c>
      <c r="AK216" s="78">
        <v>0</v>
      </c>
      <c r="AL216" s="78">
        <v>0</v>
      </c>
      <c r="AM216" s="78">
        <v>0</v>
      </c>
    </row>
    <row r="217" spans="2:39" x14ac:dyDescent="0.35">
      <c r="B217" t="str">
        <f t="shared" si="132"/>
        <v>Texas-6</v>
      </c>
      <c r="C217" t="str">
        <f t="shared" si="133"/>
        <v>Dec 2025-Texas-6</v>
      </c>
      <c r="D217">
        <f t="shared" si="154"/>
        <v>6</v>
      </c>
      <c r="E217">
        <f t="shared" si="134"/>
        <v>5.04</v>
      </c>
      <c r="F217">
        <f t="shared" si="155"/>
        <v>4</v>
      </c>
      <c r="G217">
        <f t="shared" si="156"/>
        <v>5</v>
      </c>
      <c r="H217" t="str">
        <f>IF(V217="","",IFERROR(VLOOKUP(TRIM($V217),KEY!$B$2:$F$72,3,FALSE),""))</f>
        <v>Texas</v>
      </c>
      <c r="I217" t="str">
        <f t="shared" si="135"/>
        <v>WEST-38</v>
      </c>
      <c r="J217" t="str">
        <f t="shared" si="127"/>
        <v>Feb 2026-WEST-38</v>
      </c>
      <c r="K217">
        <f t="shared" si="157"/>
        <v>38</v>
      </c>
      <c r="L217">
        <f t="shared" si="136"/>
        <v>24.3</v>
      </c>
      <c r="M217">
        <f>IF(V217="","",IFERROR(VLOOKUP(TRIM($V217),KEY!$B$2:$F$72,5,FALSE),""))</f>
        <v>30</v>
      </c>
      <c r="N217">
        <f t="shared" si="158"/>
        <v>24</v>
      </c>
      <c r="O217" t="str">
        <f t="shared" si="137"/>
        <v>Lexus-5</v>
      </c>
      <c r="P217">
        <f t="shared" si="138"/>
        <v>5</v>
      </c>
      <c r="Q217">
        <f t="shared" si="139"/>
        <v>3.01</v>
      </c>
      <c r="R217">
        <f t="shared" si="159"/>
        <v>1</v>
      </c>
      <c r="S217">
        <f t="shared" si="160"/>
        <v>3</v>
      </c>
      <c r="T217" t="str">
        <f>IF(V217="","",IFERROR(VLOOKUP(TRIM($V217),KEY!$B$2:$F$72,2,FALSE),""))</f>
        <v>Lexus</v>
      </c>
      <c r="V217" s="78" t="s">
        <v>192</v>
      </c>
      <c r="W217" s="78">
        <v>10</v>
      </c>
      <c r="X217" s="78">
        <v>0</v>
      </c>
      <c r="Y217" s="78">
        <v>0</v>
      </c>
      <c r="Z217" s="78">
        <v>1</v>
      </c>
      <c r="AA217" s="78">
        <v>0</v>
      </c>
      <c r="AB217" s="78">
        <v>0</v>
      </c>
      <c r="AC217" s="78">
        <v>1</v>
      </c>
      <c r="AD217" s="78">
        <v>2</v>
      </c>
      <c r="AE217" s="78">
        <v>20</v>
      </c>
      <c r="AF217" s="78">
        <v>1</v>
      </c>
      <c r="AG217" s="78">
        <v>0</v>
      </c>
      <c r="AH217" s="78">
        <v>7</v>
      </c>
      <c r="AI217" s="78">
        <v>80</v>
      </c>
      <c r="AJ217" s="78">
        <v>0</v>
      </c>
      <c r="AK217" s="78">
        <v>0</v>
      </c>
      <c r="AL217" s="78">
        <v>0</v>
      </c>
      <c r="AM217" s="78">
        <v>0</v>
      </c>
    </row>
    <row r="218" spans="2:39" x14ac:dyDescent="0.35">
      <c r="B218" t="str">
        <f t="shared" si="132"/>
        <v>Texas-4</v>
      </c>
      <c r="C218" t="str">
        <f t="shared" si="133"/>
        <v>Dec 2025-Texas-4</v>
      </c>
      <c r="D218">
        <f t="shared" si="154"/>
        <v>4</v>
      </c>
      <c r="E218">
        <f t="shared" si="134"/>
        <v>4.01</v>
      </c>
      <c r="F218">
        <f t="shared" si="155"/>
        <v>1</v>
      </c>
      <c r="G218">
        <f t="shared" si="156"/>
        <v>4</v>
      </c>
      <c r="H218" t="str">
        <f>IF(V218="","",IFERROR(VLOOKUP(TRIM($V218),KEY!$B$2:$F$72,3,FALSE),""))</f>
        <v>Texas</v>
      </c>
      <c r="I218" t="str">
        <f t="shared" si="135"/>
        <v>WEST-17</v>
      </c>
      <c r="J218" t="str">
        <f t="shared" ref="J218:J242" si="161">IF(V218="","",$Y$1&amp;"-"&amp;I218)</f>
        <v>Feb 2026-WEST-17</v>
      </c>
      <c r="K218">
        <f t="shared" si="157"/>
        <v>17</v>
      </c>
      <c r="L218">
        <f t="shared" si="136"/>
        <v>16.12</v>
      </c>
      <c r="M218">
        <f>IF(V218="","",IFERROR(VLOOKUP(TRIM($V218),KEY!$B$2:$F$72,5,FALSE),""))</f>
        <v>12</v>
      </c>
      <c r="N218">
        <f t="shared" si="158"/>
        <v>16</v>
      </c>
      <c r="O218" t="str">
        <f t="shared" si="137"/>
        <v>BMW-3</v>
      </c>
      <c r="P218">
        <f t="shared" si="138"/>
        <v>3</v>
      </c>
      <c r="Q218">
        <f t="shared" si="139"/>
        <v>3.02</v>
      </c>
      <c r="R218">
        <f t="shared" si="159"/>
        <v>2</v>
      </c>
      <c r="S218">
        <f t="shared" si="160"/>
        <v>3</v>
      </c>
      <c r="T218" t="str">
        <f>IF(V218="","",IFERROR(VLOOKUP(TRIM($V218),KEY!$B$2:$F$72,2,FALSE),""))</f>
        <v>BMW</v>
      </c>
      <c r="V218" s="78" t="s">
        <v>194</v>
      </c>
      <c r="W218" s="78">
        <v>19</v>
      </c>
      <c r="X218" s="78">
        <v>3</v>
      </c>
      <c r="Y218" s="78">
        <v>16</v>
      </c>
      <c r="Z218" s="78">
        <v>0</v>
      </c>
      <c r="AA218" s="78">
        <v>3</v>
      </c>
      <c r="AB218" s="78">
        <v>0</v>
      </c>
      <c r="AC218" s="78">
        <v>2</v>
      </c>
      <c r="AD218" s="78">
        <v>5</v>
      </c>
      <c r="AE218" s="78">
        <v>26</v>
      </c>
      <c r="AF218" s="78">
        <v>12</v>
      </c>
      <c r="AG218" s="78">
        <v>0</v>
      </c>
      <c r="AH218" s="78">
        <v>0</v>
      </c>
      <c r="AI218" s="78">
        <v>63</v>
      </c>
      <c r="AJ218" s="78">
        <v>0</v>
      </c>
      <c r="AK218" s="78">
        <v>2</v>
      </c>
      <c r="AL218" s="78">
        <v>0</v>
      </c>
      <c r="AM218" s="78">
        <v>11</v>
      </c>
    </row>
    <row r="219" spans="2:39" x14ac:dyDescent="0.35">
      <c r="B219" t="str">
        <f t="shared" si="132"/>
        <v>Texas-9</v>
      </c>
      <c r="C219" t="str">
        <f t="shared" si="133"/>
        <v>Dec 2025-Texas-9</v>
      </c>
      <c r="D219">
        <f t="shared" si="154"/>
        <v>9</v>
      </c>
      <c r="E219">
        <f t="shared" si="134"/>
        <v>5.08</v>
      </c>
      <c r="F219">
        <f t="shared" si="155"/>
        <v>8</v>
      </c>
      <c r="G219">
        <f t="shared" si="156"/>
        <v>5</v>
      </c>
      <c r="H219" t="str">
        <f>IF(V219="","",IFERROR(VLOOKUP(TRIM($V219),KEY!$B$2:$F$72,3,FALSE),""))</f>
        <v>Texas</v>
      </c>
      <c r="I219" t="str">
        <f t="shared" si="135"/>
        <v>WEST-49</v>
      </c>
      <c r="J219" t="str">
        <f t="shared" si="161"/>
        <v>Feb 2026-WEST-49</v>
      </c>
      <c r="K219">
        <f t="shared" si="157"/>
        <v>49</v>
      </c>
      <c r="L219">
        <f t="shared" si="136"/>
        <v>24.53</v>
      </c>
      <c r="M219">
        <f>IF(V219="","",IFERROR(VLOOKUP(TRIM($V219),KEY!$B$2:$F$72,5,FALSE),""))</f>
        <v>53</v>
      </c>
      <c r="N219">
        <f t="shared" si="158"/>
        <v>24</v>
      </c>
      <c r="O219" t="str">
        <f t="shared" si="137"/>
        <v>Hyundai-1</v>
      </c>
      <c r="P219">
        <f t="shared" si="138"/>
        <v>1</v>
      </c>
      <c r="Q219">
        <f t="shared" si="139"/>
        <v>1.01</v>
      </c>
      <c r="R219">
        <f t="shared" si="159"/>
        <v>1</v>
      </c>
      <c r="S219">
        <f t="shared" si="160"/>
        <v>1</v>
      </c>
      <c r="T219" t="str">
        <f>IF(V219="","",IFERROR(VLOOKUP(TRIM($V219),KEY!$B$2:$F$72,2,FALSE),""))</f>
        <v>Hyundai</v>
      </c>
      <c r="V219" s="78" t="s">
        <v>196</v>
      </c>
      <c r="W219" s="78">
        <v>4</v>
      </c>
      <c r="X219" s="78">
        <v>0</v>
      </c>
      <c r="Y219" s="78">
        <v>0</v>
      </c>
      <c r="Z219" s="78">
        <v>0</v>
      </c>
      <c r="AA219" s="78">
        <v>0</v>
      </c>
      <c r="AB219" s="78">
        <v>0</v>
      </c>
      <c r="AC219" s="78">
        <v>0</v>
      </c>
      <c r="AD219" s="78">
        <v>0</v>
      </c>
      <c r="AE219" s="78">
        <v>0</v>
      </c>
      <c r="AF219" s="78">
        <v>4</v>
      </c>
      <c r="AG219" s="78">
        <v>0</v>
      </c>
      <c r="AH219" s="78">
        <v>0</v>
      </c>
      <c r="AI219" s="78">
        <v>100</v>
      </c>
      <c r="AJ219" s="78">
        <v>0</v>
      </c>
      <c r="AK219" s="78">
        <v>0</v>
      </c>
      <c r="AL219" s="78">
        <v>0</v>
      </c>
      <c r="AM219" s="78">
        <v>0</v>
      </c>
    </row>
    <row r="220" spans="2:39" x14ac:dyDescent="0.35">
      <c r="B220" t="str">
        <f t="shared" si="132"/>
        <v>Texas-2</v>
      </c>
      <c r="C220" t="str">
        <f t="shared" si="133"/>
        <v>Dec 2025-Texas-2</v>
      </c>
      <c r="D220">
        <f t="shared" si="154"/>
        <v>2</v>
      </c>
      <c r="E220">
        <f t="shared" si="134"/>
        <v>1.0900000000000001</v>
      </c>
      <c r="F220">
        <f t="shared" si="155"/>
        <v>9</v>
      </c>
      <c r="G220">
        <f t="shared" si="156"/>
        <v>1</v>
      </c>
      <c r="H220" t="str">
        <f>IF(V220="","",IFERROR(VLOOKUP(TRIM($V220),KEY!$B$2:$F$72,3,FALSE),""))</f>
        <v>Texas</v>
      </c>
      <c r="I220" t="str">
        <f t="shared" si="135"/>
        <v>WEST-4</v>
      </c>
      <c r="J220" t="str">
        <f t="shared" si="161"/>
        <v>Feb 2026-WEST-4</v>
      </c>
      <c r="K220">
        <f t="shared" si="157"/>
        <v>4</v>
      </c>
      <c r="L220">
        <f t="shared" si="136"/>
        <v>2.54</v>
      </c>
      <c r="M220">
        <f>IF(V220="","",IFERROR(VLOOKUP(TRIM($V220),KEY!$B$2:$F$72,5,FALSE),""))</f>
        <v>54</v>
      </c>
      <c r="N220">
        <f t="shared" si="158"/>
        <v>2</v>
      </c>
      <c r="O220" t="str">
        <f t="shared" si="137"/>
        <v>Toyota-1</v>
      </c>
      <c r="P220">
        <f t="shared" si="138"/>
        <v>1</v>
      </c>
      <c r="Q220">
        <f t="shared" si="139"/>
        <v>1.03</v>
      </c>
      <c r="R220">
        <f t="shared" si="159"/>
        <v>3</v>
      </c>
      <c r="S220">
        <f t="shared" si="160"/>
        <v>1</v>
      </c>
      <c r="T220" t="str">
        <f>IF(V220="","",IFERROR(VLOOKUP(TRIM($V220),KEY!$B$2:$F$72,2,FALSE),""))</f>
        <v>Toyota</v>
      </c>
      <c r="V220" s="78" t="s">
        <v>195</v>
      </c>
      <c r="W220" s="78">
        <v>2</v>
      </c>
      <c r="X220" s="78">
        <v>1</v>
      </c>
      <c r="Y220" s="78">
        <v>50</v>
      </c>
      <c r="Z220" s="78">
        <v>0</v>
      </c>
      <c r="AA220" s="78">
        <v>1</v>
      </c>
      <c r="AB220" s="78">
        <v>0</v>
      </c>
      <c r="AC220" s="78">
        <v>0</v>
      </c>
      <c r="AD220" s="78">
        <v>1</v>
      </c>
      <c r="AE220" s="78">
        <v>50</v>
      </c>
      <c r="AF220" s="78">
        <v>0</v>
      </c>
      <c r="AG220" s="78">
        <v>0</v>
      </c>
      <c r="AH220" s="78">
        <v>0</v>
      </c>
      <c r="AI220" s="78">
        <v>0</v>
      </c>
      <c r="AJ220" s="78">
        <v>0</v>
      </c>
      <c r="AK220" s="78">
        <v>1</v>
      </c>
      <c r="AL220" s="78">
        <v>0</v>
      </c>
      <c r="AM220" s="78">
        <v>50</v>
      </c>
    </row>
    <row r="221" spans="2:39" x14ac:dyDescent="0.35">
      <c r="B221" t="str">
        <f t="shared" si="132"/>
        <v>Texas-3</v>
      </c>
      <c r="C221" t="str">
        <f t="shared" si="133"/>
        <v>Dec 2025-Texas-3</v>
      </c>
      <c r="D221">
        <f t="shared" si="154"/>
        <v>3</v>
      </c>
      <c r="E221">
        <f t="shared" si="134"/>
        <v>3.05</v>
      </c>
      <c r="F221">
        <f t="shared" si="155"/>
        <v>5</v>
      </c>
      <c r="G221">
        <f t="shared" si="156"/>
        <v>3</v>
      </c>
      <c r="H221" t="str">
        <f>IF(V221="","",IFERROR(VLOOKUP(TRIM($V221),KEY!$B$2:$F$72,3,FALSE),""))</f>
        <v>Texas</v>
      </c>
      <c r="I221" t="str">
        <f t="shared" si="135"/>
        <v>WEST-7</v>
      </c>
      <c r="J221" t="str">
        <f t="shared" si="161"/>
        <v>Feb 2026-WEST-7</v>
      </c>
      <c r="K221">
        <f t="shared" si="157"/>
        <v>7</v>
      </c>
      <c r="L221">
        <f t="shared" si="136"/>
        <v>7.32</v>
      </c>
      <c r="M221">
        <f>IF(V221="","",IFERROR(VLOOKUP(TRIM($V221),KEY!$B$2:$F$72,5,FALSE),""))</f>
        <v>32</v>
      </c>
      <c r="N221">
        <f t="shared" si="158"/>
        <v>7</v>
      </c>
      <c r="O221" t="str">
        <f t="shared" si="137"/>
        <v>Lexus-1</v>
      </c>
      <c r="P221">
        <f t="shared" si="138"/>
        <v>1</v>
      </c>
      <c r="Q221">
        <f t="shared" si="139"/>
        <v>1.02</v>
      </c>
      <c r="R221">
        <f t="shared" si="159"/>
        <v>2</v>
      </c>
      <c r="S221">
        <f t="shared" si="160"/>
        <v>1</v>
      </c>
      <c r="T221" t="str">
        <f>IF(V221="","",IFERROR(VLOOKUP(TRIM($V221),KEY!$B$2:$F$72,2,FALSE),""))</f>
        <v>Lexus</v>
      </c>
      <c r="V221" s="78" t="s">
        <v>193</v>
      </c>
      <c r="W221" s="78">
        <v>6</v>
      </c>
      <c r="X221" s="78">
        <v>2</v>
      </c>
      <c r="Y221" s="78">
        <v>33</v>
      </c>
      <c r="Z221" s="78">
        <v>0</v>
      </c>
      <c r="AA221" s="78">
        <v>2</v>
      </c>
      <c r="AB221" s="78">
        <v>0</v>
      </c>
      <c r="AC221" s="78">
        <v>0</v>
      </c>
      <c r="AD221" s="78">
        <v>2</v>
      </c>
      <c r="AE221" s="78">
        <v>33</v>
      </c>
      <c r="AF221" s="78">
        <v>3</v>
      </c>
      <c r="AG221" s="78">
        <v>0</v>
      </c>
      <c r="AH221" s="78">
        <v>0</v>
      </c>
      <c r="AI221" s="78">
        <v>50</v>
      </c>
      <c r="AJ221" s="78">
        <v>0</v>
      </c>
      <c r="AK221" s="78">
        <v>1</v>
      </c>
      <c r="AL221" s="78">
        <v>0</v>
      </c>
      <c r="AM221" s="78">
        <v>17</v>
      </c>
    </row>
    <row r="222" spans="2:39" x14ac:dyDescent="0.35">
      <c r="B222" t="str">
        <f t="shared" si="132"/>
        <v>Texas-5</v>
      </c>
      <c r="C222" t="str">
        <f t="shared" si="133"/>
        <v>Dec 2025-Texas-5</v>
      </c>
      <c r="D222">
        <f t="shared" si="154"/>
        <v>5</v>
      </c>
      <c r="E222">
        <f t="shared" si="134"/>
        <v>5.0199999999999996</v>
      </c>
      <c r="F222">
        <f t="shared" si="155"/>
        <v>2</v>
      </c>
      <c r="G222">
        <f t="shared" si="156"/>
        <v>5</v>
      </c>
      <c r="H222" t="str">
        <f>IF(V222="","",IFERROR(VLOOKUP(TRIM($V222),KEY!$B$2:$F$72,3,FALSE),""))</f>
        <v>Texas</v>
      </c>
      <c r="I222" t="str">
        <f t="shared" si="135"/>
        <v>WEST-34</v>
      </c>
      <c r="J222" t="str">
        <f t="shared" si="161"/>
        <v>Feb 2026-WEST-34</v>
      </c>
      <c r="K222">
        <f t="shared" si="157"/>
        <v>34</v>
      </c>
      <c r="L222">
        <f t="shared" si="136"/>
        <v>24.22</v>
      </c>
      <c r="M222">
        <f>IF(V222="","",IFERROR(VLOOKUP(TRIM($V222),KEY!$B$2:$F$72,5,FALSE),""))</f>
        <v>22</v>
      </c>
      <c r="N222">
        <f t="shared" si="158"/>
        <v>24</v>
      </c>
      <c r="O222" t="str">
        <f t="shared" si="137"/>
        <v>Genesis-1</v>
      </c>
      <c r="P222">
        <f t="shared" si="138"/>
        <v>1</v>
      </c>
      <c r="Q222">
        <f t="shared" si="139"/>
        <v>1.01</v>
      </c>
      <c r="R222">
        <f t="shared" si="159"/>
        <v>1</v>
      </c>
      <c r="S222">
        <f t="shared" si="160"/>
        <v>1</v>
      </c>
      <c r="T222" t="str">
        <f>IF(V222="","",IFERROR(VLOOKUP(TRIM($V222),KEY!$B$2:$F$72,2,FALSE),""))</f>
        <v>Genesis</v>
      </c>
      <c r="V222" s="78" t="s">
        <v>213</v>
      </c>
      <c r="W222" s="78">
        <v>2</v>
      </c>
      <c r="X222" s="78">
        <v>0</v>
      </c>
      <c r="Y222" s="78">
        <v>0</v>
      </c>
      <c r="Z222" s="78">
        <v>0</v>
      </c>
      <c r="AA222" s="78">
        <v>0</v>
      </c>
      <c r="AB222" s="78">
        <v>0</v>
      </c>
      <c r="AC222" s="78">
        <v>0</v>
      </c>
      <c r="AD222" s="78">
        <v>0</v>
      </c>
      <c r="AE222" s="78">
        <v>0</v>
      </c>
      <c r="AF222" s="78">
        <v>0</v>
      </c>
      <c r="AG222" s="78">
        <v>0</v>
      </c>
      <c r="AH222" s="78">
        <v>2</v>
      </c>
      <c r="AI222" s="78">
        <v>100</v>
      </c>
      <c r="AJ222" s="78">
        <v>0</v>
      </c>
      <c r="AK222" s="78">
        <v>0</v>
      </c>
      <c r="AL222" s="78">
        <v>0</v>
      </c>
      <c r="AM222" s="78">
        <v>0</v>
      </c>
    </row>
    <row r="223" spans="2:39" x14ac:dyDescent="0.35">
      <c r="B223" t="str">
        <f t="shared" si="132"/>
        <v>Texas-7</v>
      </c>
      <c r="C223" t="str">
        <f t="shared" si="133"/>
        <v>Dec 2025-Texas-7</v>
      </c>
      <c r="D223">
        <f t="shared" si="154"/>
        <v>7</v>
      </c>
      <c r="E223">
        <f t="shared" si="134"/>
        <v>5.0599999999999996</v>
      </c>
      <c r="F223">
        <f t="shared" si="155"/>
        <v>6</v>
      </c>
      <c r="G223">
        <f t="shared" si="156"/>
        <v>5</v>
      </c>
      <c r="H223" t="str">
        <f>IF(V223="","",IFERROR(VLOOKUP(TRIM($V223),KEY!$B$2:$F$72,3,FALSE),""))</f>
        <v>Texas</v>
      </c>
      <c r="I223" t="str">
        <f t="shared" si="135"/>
        <v>WEST-40</v>
      </c>
      <c r="J223" t="str">
        <f t="shared" si="161"/>
        <v>Feb 2026-WEST-40</v>
      </c>
      <c r="K223">
        <f t="shared" si="157"/>
        <v>40</v>
      </c>
      <c r="L223">
        <f t="shared" si="136"/>
        <v>24.4</v>
      </c>
      <c r="M223">
        <f>IF(V223="","",IFERROR(VLOOKUP(TRIM($V223),KEY!$B$2:$F$72,5,FALSE),""))</f>
        <v>40</v>
      </c>
      <c r="N223">
        <f t="shared" si="158"/>
        <v>24</v>
      </c>
      <c r="O223" t="str">
        <f t="shared" si="137"/>
        <v>MINI-3</v>
      </c>
      <c r="P223">
        <f t="shared" si="138"/>
        <v>3</v>
      </c>
      <c r="Q223">
        <f t="shared" si="139"/>
        <v>2.0299999999999998</v>
      </c>
      <c r="R223">
        <f t="shared" si="159"/>
        <v>3</v>
      </c>
      <c r="S223">
        <f t="shared" si="160"/>
        <v>2</v>
      </c>
      <c r="T223" t="str">
        <f>IF(V223="","",IFERROR(VLOOKUP(TRIM($V223),KEY!$B$2:$F$72,2,FALSE),""))</f>
        <v>MINI</v>
      </c>
      <c r="V223" s="78" t="s">
        <v>197</v>
      </c>
      <c r="W223" s="78">
        <v>5</v>
      </c>
      <c r="X223" s="78">
        <v>0</v>
      </c>
      <c r="Y223" s="78">
        <v>0</v>
      </c>
      <c r="Z223" s="78">
        <v>0</v>
      </c>
      <c r="AA223" s="78">
        <v>0</v>
      </c>
      <c r="AB223" s="78">
        <v>0</v>
      </c>
      <c r="AC223" s="78">
        <v>0</v>
      </c>
      <c r="AD223" s="78">
        <v>0</v>
      </c>
      <c r="AE223" s="78">
        <v>0</v>
      </c>
      <c r="AF223" s="78">
        <v>0</v>
      </c>
      <c r="AG223" s="78">
        <v>0</v>
      </c>
      <c r="AH223" s="78">
        <v>5</v>
      </c>
      <c r="AI223" s="78">
        <v>100</v>
      </c>
      <c r="AJ223" s="78">
        <v>0</v>
      </c>
      <c r="AK223" s="78">
        <v>0</v>
      </c>
      <c r="AL223" s="78">
        <v>0</v>
      </c>
      <c r="AM223" s="78">
        <v>0</v>
      </c>
    </row>
    <row r="224" spans="2:39" x14ac:dyDescent="0.35">
      <c r="B224" t="str">
        <f t="shared" si="132"/>
        <v>Wisconsin-1</v>
      </c>
      <c r="C224" t="str">
        <f t="shared" si="133"/>
        <v>Dec 2025-Wisconsin-1</v>
      </c>
      <c r="D224">
        <f t="shared" si="154"/>
        <v>1</v>
      </c>
      <c r="E224">
        <f t="shared" si="134"/>
        <v>1.01</v>
      </c>
      <c r="F224">
        <f t="shared" si="155"/>
        <v>1</v>
      </c>
      <c r="G224">
        <f t="shared" si="156"/>
        <v>1</v>
      </c>
      <c r="H224" t="str">
        <f>IF(V224="","",IFERROR(VLOOKUP(TRIM($V224),KEY!$B$2:$F$72,3,FALSE),""))</f>
        <v>Wisconsin</v>
      </c>
      <c r="I224" t="str">
        <f t="shared" si="135"/>
        <v>WEST-6</v>
      </c>
      <c r="J224" t="str">
        <f t="shared" si="161"/>
        <v>Feb 2026-WEST-6</v>
      </c>
      <c r="K224">
        <f t="shared" si="157"/>
        <v>6</v>
      </c>
      <c r="L224">
        <f t="shared" si="136"/>
        <v>6.21</v>
      </c>
      <c r="M224">
        <f>IF(V224="","",IFERROR(VLOOKUP(TRIM($V224),KEY!$B$2:$F$72,5,FALSE),""))</f>
        <v>21</v>
      </c>
      <c r="N224">
        <f t="shared" si="158"/>
        <v>6</v>
      </c>
      <c r="O224" t="str">
        <f t="shared" si="137"/>
        <v>Toyota-2</v>
      </c>
      <c r="P224">
        <f t="shared" si="138"/>
        <v>2</v>
      </c>
      <c r="Q224">
        <f t="shared" si="139"/>
        <v>2.0099999999999998</v>
      </c>
      <c r="R224">
        <f t="shared" si="159"/>
        <v>1</v>
      </c>
      <c r="S224">
        <f t="shared" si="160"/>
        <v>2</v>
      </c>
      <c r="T224" t="str">
        <f>IF(V224="","",IFERROR(VLOOKUP(TRIM($V224),KEY!$B$2:$F$72,2,FALSE),""))</f>
        <v>Toyota</v>
      </c>
      <c r="V224" s="78" t="s">
        <v>198</v>
      </c>
      <c r="W224" s="78">
        <v>5</v>
      </c>
      <c r="X224" s="78">
        <v>2</v>
      </c>
      <c r="Y224" s="78">
        <v>40</v>
      </c>
      <c r="Z224" s="78">
        <v>0</v>
      </c>
      <c r="AA224" s="78">
        <v>2</v>
      </c>
      <c r="AB224" s="78">
        <v>0</v>
      </c>
      <c r="AC224" s="78">
        <v>1</v>
      </c>
      <c r="AD224" s="78">
        <v>3</v>
      </c>
      <c r="AE224" s="78">
        <v>60</v>
      </c>
      <c r="AF224" s="78">
        <v>2</v>
      </c>
      <c r="AG224" s="78">
        <v>0</v>
      </c>
      <c r="AH224" s="78">
        <v>0</v>
      </c>
      <c r="AI224" s="78">
        <v>40</v>
      </c>
      <c r="AJ224" s="78">
        <v>0</v>
      </c>
      <c r="AK224" s="78">
        <v>0</v>
      </c>
      <c r="AL224" s="78">
        <v>0</v>
      </c>
      <c r="AM224" s="78">
        <v>0</v>
      </c>
    </row>
    <row r="225" spans="2:39" x14ac:dyDescent="0.35">
      <c r="B225" t="str">
        <f t="shared" si="132"/>
        <v>Michigan &amp; Minnesota-2</v>
      </c>
      <c r="C225" t="str">
        <f t="shared" si="133"/>
        <v>Dec 2025-Michigan &amp; Minnesota-2</v>
      </c>
      <c r="D225">
        <f t="shared" si="154"/>
        <v>2</v>
      </c>
      <c r="E225">
        <f t="shared" si="134"/>
        <v>1.02</v>
      </c>
      <c r="F225">
        <f t="shared" si="155"/>
        <v>2</v>
      </c>
      <c r="G225">
        <f t="shared" si="156"/>
        <v>1</v>
      </c>
      <c r="H225" t="str">
        <f>IF(V225="","",IFERROR(VLOOKUP(TRIM($V225),KEY!$B$2:$F$72,3,FALSE),""))</f>
        <v>Michigan &amp; Minnesota</v>
      </c>
      <c r="I225" t="str">
        <f t="shared" si="135"/>
        <v>WEST-44</v>
      </c>
      <c r="J225" t="str">
        <f t="shared" si="161"/>
        <v>Feb 2026-WEST-44</v>
      </c>
      <c r="K225">
        <f t="shared" si="157"/>
        <v>44</v>
      </c>
      <c r="L225">
        <f t="shared" si="136"/>
        <v>24.45</v>
      </c>
      <c r="M225">
        <f>IF(V225="","",IFERROR(VLOOKUP(TRIM($V225),KEY!$B$2:$F$72,5,FALSE),""))</f>
        <v>45</v>
      </c>
      <c r="N225">
        <f t="shared" si="158"/>
        <v>24</v>
      </c>
      <c r="O225" t="str">
        <f t="shared" si="137"/>
        <v>BMW-6</v>
      </c>
      <c r="P225">
        <f t="shared" si="138"/>
        <v>6</v>
      </c>
      <c r="Q225">
        <f t="shared" si="139"/>
        <v>6.08</v>
      </c>
      <c r="R225">
        <f t="shared" si="159"/>
        <v>8</v>
      </c>
      <c r="S225">
        <f t="shared" si="160"/>
        <v>6</v>
      </c>
      <c r="T225" t="str">
        <f>IF(V225="","",IFERROR(VLOOKUP(TRIM($V225),KEY!$B$2:$F$72,2,FALSE),""))</f>
        <v>BMW</v>
      </c>
      <c r="V225" s="78" t="s">
        <v>199</v>
      </c>
      <c r="W225" s="78">
        <v>24</v>
      </c>
      <c r="X225" s="78">
        <v>0</v>
      </c>
      <c r="Y225" s="78">
        <v>0</v>
      </c>
      <c r="Z225" s="78">
        <v>0</v>
      </c>
      <c r="AA225" s="78">
        <v>0</v>
      </c>
      <c r="AB225" s="78">
        <v>0</v>
      </c>
      <c r="AC225" s="78">
        <v>0</v>
      </c>
      <c r="AD225" s="78">
        <v>0</v>
      </c>
      <c r="AE225" s="78">
        <v>0</v>
      </c>
      <c r="AF225" s="78">
        <v>0</v>
      </c>
      <c r="AG225" s="78">
        <v>0</v>
      </c>
      <c r="AH225" s="78">
        <v>24</v>
      </c>
      <c r="AI225" s="78">
        <v>100</v>
      </c>
      <c r="AJ225" s="78">
        <v>0</v>
      </c>
      <c r="AK225" s="78">
        <v>0</v>
      </c>
      <c r="AL225" s="78">
        <v>0</v>
      </c>
      <c r="AM225" s="78">
        <v>0</v>
      </c>
    </row>
    <row r="226" spans="2:39" x14ac:dyDescent="0.35">
      <c r="B226" t="str">
        <f t="shared" si="132"/>
        <v>Michigan &amp; Minnesota-1</v>
      </c>
      <c r="C226" t="str">
        <f t="shared" si="133"/>
        <v>Dec 2025-Michigan &amp; Minnesota-1</v>
      </c>
      <c r="D226">
        <f t="shared" si="154"/>
        <v>1</v>
      </c>
      <c r="E226">
        <f t="shared" si="134"/>
        <v>1.01</v>
      </c>
      <c r="F226">
        <f t="shared" si="155"/>
        <v>1</v>
      </c>
      <c r="G226">
        <f t="shared" si="156"/>
        <v>1</v>
      </c>
      <c r="H226" t="str">
        <f>IF(V226="","",IFERROR(VLOOKUP(TRIM($V226),KEY!$B$2:$F$72,3,FALSE),""))</f>
        <v>Michigan &amp; Minnesota</v>
      </c>
      <c r="I226" t="str">
        <f t="shared" si="135"/>
        <v>WEST-30</v>
      </c>
      <c r="J226" t="str">
        <f t="shared" si="161"/>
        <v>Feb 2026-WEST-30</v>
      </c>
      <c r="K226">
        <f t="shared" si="157"/>
        <v>30</v>
      </c>
      <c r="L226">
        <f t="shared" si="136"/>
        <v>24.13</v>
      </c>
      <c r="M226">
        <f>IF(V226="","",IFERROR(VLOOKUP(TRIM($V226),KEY!$B$2:$F$72,5,FALSE),""))</f>
        <v>13</v>
      </c>
      <c r="N226">
        <f t="shared" si="158"/>
        <v>24</v>
      </c>
      <c r="O226" t="str">
        <f t="shared" si="137"/>
        <v>BMW-6</v>
      </c>
      <c r="P226">
        <f t="shared" si="138"/>
        <v>6</v>
      </c>
      <c r="Q226">
        <f t="shared" si="139"/>
        <v>6.03</v>
      </c>
      <c r="R226">
        <f t="shared" si="159"/>
        <v>3</v>
      </c>
      <c r="S226">
        <f t="shared" si="160"/>
        <v>6</v>
      </c>
      <c r="T226" t="str">
        <f>IF(V226="","",IFERROR(VLOOKUP(TRIM($V226),KEY!$B$2:$F$72,2,FALSE),""))</f>
        <v>BMW</v>
      </c>
      <c r="V226" s="78" t="s">
        <v>201</v>
      </c>
      <c r="W226" s="78">
        <v>25</v>
      </c>
      <c r="X226" s="78">
        <v>0</v>
      </c>
      <c r="Y226" s="78">
        <v>0</v>
      </c>
      <c r="Z226" s="78">
        <v>0</v>
      </c>
      <c r="AA226" s="78">
        <v>0</v>
      </c>
      <c r="AB226" s="78">
        <v>0</v>
      </c>
      <c r="AC226" s="78">
        <v>0</v>
      </c>
      <c r="AD226" s="78">
        <v>0</v>
      </c>
      <c r="AE226" s="78">
        <v>0</v>
      </c>
      <c r="AF226" s="78">
        <v>7</v>
      </c>
      <c r="AG226" s="78">
        <v>0</v>
      </c>
      <c r="AH226" s="78">
        <v>18</v>
      </c>
      <c r="AI226" s="78">
        <v>100</v>
      </c>
      <c r="AJ226" s="78">
        <v>0</v>
      </c>
      <c r="AK226" s="78">
        <v>0</v>
      </c>
      <c r="AL226" s="78">
        <v>0</v>
      </c>
      <c r="AM226" s="78">
        <v>0</v>
      </c>
    </row>
    <row r="227" spans="2:39" x14ac:dyDescent="0.35">
      <c r="B227" t="str">
        <f t="shared" si="132"/>
        <v/>
      </c>
      <c r="C227" t="str">
        <f t="shared" si="133"/>
        <v/>
      </c>
      <c r="D227" t="str">
        <f t="shared" si="154"/>
        <v/>
      </c>
      <c r="E227" t="str">
        <f t="shared" si="134"/>
        <v/>
      </c>
      <c r="F227" t="str">
        <f t="shared" si="155"/>
        <v/>
      </c>
      <c r="G227" t="str">
        <f t="shared" si="156"/>
        <v/>
      </c>
      <c r="H227" t="str">
        <f>IF(V227="","",IFERROR(VLOOKUP(TRIM($V227),KEY!$B$2:$F$72,3,FALSE),""))</f>
        <v/>
      </c>
      <c r="I227" t="str">
        <f t="shared" si="135"/>
        <v/>
      </c>
      <c r="J227" t="str">
        <f t="shared" si="161"/>
        <v/>
      </c>
      <c r="K227" t="str">
        <f t="shared" si="157"/>
        <v/>
      </c>
      <c r="L227" t="str">
        <f t="shared" si="136"/>
        <v/>
      </c>
      <c r="M227" t="str">
        <f>IF(V227="","",IFERROR(VLOOKUP(TRIM($V227),KEY!$B$2:$F$72,5,FALSE),""))</f>
        <v/>
      </c>
      <c r="N227" t="str">
        <f t="shared" si="158"/>
        <v/>
      </c>
      <c r="O227" t="str">
        <f t="shared" si="137"/>
        <v/>
      </c>
      <c r="P227" t="str">
        <f t="shared" si="138"/>
        <v/>
      </c>
      <c r="Q227" t="str">
        <f t="shared" si="139"/>
        <v/>
      </c>
      <c r="R227" t="str">
        <f t="shared" si="159"/>
        <v/>
      </c>
      <c r="S227" t="str">
        <f t="shared" si="160"/>
        <v/>
      </c>
      <c r="T227" t="str">
        <f>IF(V227="","",IFERROR(VLOOKUP(TRIM($V227),KEY!$B$2:$F$72,2,FALSE),""))</f>
        <v/>
      </c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</row>
    <row r="228" spans="2:39" x14ac:dyDescent="0.35">
      <c r="B228" t="str">
        <f t="shared" si="132"/>
        <v/>
      </c>
      <c r="C228" t="str">
        <f t="shared" si="133"/>
        <v/>
      </c>
      <c r="D228" t="str">
        <f t="shared" si="154"/>
        <v/>
      </c>
      <c r="E228" t="str">
        <f t="shared" si="134"/>
        <v/>
      </c>
      <c r="F228" t="str">
        <f t="shared" si="155"/>
        <v/>
      </c>
      <c r="G228" t="str">
        <f t="shared" si="156"/>
        <v/>
      </c>
      <c r="H228" t="str">
        <f>IF(V228="","",IFERROR(VLOOKUP(TRIM($V228),KEY!$B$2:$F$72,3,FALSE),""))</f>
        <v/>
      </c>
      <c r="I228" t="str">
        <f t="shared" si="135"/>
        <v/>
      </c>
      <c r="J228" t="str">
        <f t="shared" si="161"/>
        <v/>
      </c>
      <c r="K228" t="str">
        <f t="shared" si="157"/>
        <v/>
      </c>
      <c r="L228" t="str">
        <f t="shared" si="136"/>
        <v/>
      </c>
      <c r="M228" t="str">
        <f>IF(V228="","",IFERROR(VLOOKUP(TRIM($V228),KEY!$B$2:$F$72,5,FALSE),""))</f>
        <v/>
      </c>
      <c r="N228" t="str">
        <f t="shared" si="158"/>
        <v/>
      </c>
      <c r="O228" t="str">
        <f t="shared" si="137"/>
        <v/>
      </c>
      <c r="P228" t="str">
        <f t="shared" si="138"/>
        <v/>
      </c>
      <c r="Q228" t="str">
        <f t="shared" si="139"/>
        <v/>
      </c>
      <c r="R228" t="str">
        <f t="shared" si="159"/>
        <v/>
      </c>
      <c r="S228" t="str">
        <f t="shared" si="160"/>
        <v/>
      </c>
      <c r="T228" t="str">
        <f>IF(V228="","",IFERROR(VLOOKUP(TRIM($V228),KEY!$B$2:$F$72,2,FALSE),""))</f>
        <v/>
      </c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</row>
    <row r="229" spans="2:39" x14ac:dyDescent="0.35">
      <c r="B229" t="str">
        <f t="shared" si="132"/>
        <v/>
      </c>
      <c r="C229" t="str">
        <f t="shared" si="133"/>
        <v/>
      </c>
      <c r="D229" t="str">
        <f t="shared" si="154"/>
        <v/>
      </c>
      <c r="E229" t="str">
        <f t="shared" si="134"/>
        <v/>
      </c>
      <c r="F229" t="str">
        <f t="shared" si="155"/>
        <v/>
      </c>
      <c r="G229" t="str">
        <f t="shared" si="156"/>
        <v/>
      </c>
      <c r="H229" t="str">
        <f>IF(V229="","",IFERROR(VLOOKUP(TRIM($V229),KEY!$B$2:$F$72,3,FALSE),""))</f>
        <v/>
      </c>
      <c r="I229" t="str">
        <f t="shared" si="135"/>
        <v/>
      </c>
      <c r="J229" t="str">
        <f t="shared" si="161"/>
        <v/>
      </c>
      <c r="K229" t="str">
        <f t="shared" si="157"/>
        <v/>
      </c>
      <c r="L229" t="str">
        <f t="shared" si="136"/>
        <v/>
      </c>
      <c r="M229" t="str">
        <f>IF(V229="","",IFERROR(VLOOKUP(TRIM($V229),KEY!$B$2:$F$72,5,FALSE),""))</f>
        <v/>
      </c>
      <c r="N229" t="str">
        <f t="shared" si="158"/>
        <v/>
      </c>
      <c r="O229" t="str">
        <f t="shared" si="137"/>
        <v/>
      </c>
      <c r="P229" t="str">
        <f t="shared" si="138"/>
        <v/>
      </c>
      <c r="Q229" t="str">
        <f t="shared" si="139"/>
        <v/>
      </c>
      <c r="R229" t="str">
        <f t="shared" si="159"/>
        <v/>
      </c>
      <c r="S229" t="str">
        <f t="shared" si="160"/>
        <v/>
      </c>
      <c r="T229" t="str">
        <f>IF(V229="","",IFERROR(VLOOKUP(TRIM($V229),KEY!$B$2:$F$72,2,FALSE),""))</f>
        <v/>
      </c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</row>
    <row r="230" spans="2:39" x14ac:dyDescent="0.35">
      <c r="B230" t="str">
        <f t="shared" ref="B230" si="162">IF(V230="","",H230&amp;"-"&amp;D230)</f>
        <v/>
      </c>
      <c r="C230" t="str">
        <f t="shared" ref="C230" si="163">IF(V230="","",$W$1&amp;"-"&amp;B230)</f>
        <v/>
      </c>
      <c r="D230" t="str">
        <f t="shared" ref="D230" si="164">IF(V230="","",COUNTIFS($H$172:$H$242,H230,$E$172:$E$242,"&lt;"&amp;E230)+1)</f>
        <v/>
      </c>
      <c r="E230" t="str">
        <f t="shared" ref="E230" si="165">IF(V230="","",G230+(F230/100))</f>
        <v/>
      </c>
      <c r="F230" t="str">
        <f t="shared" ref="F230" si="166">IF(V230="","",COUNTIFS($H$172:$H$242,H230,$V$172:$V$242,"&lt;"&amp;V230)+1)</f>
        <v/>
      </c>
      <c r="G230" t="str">
        <f t="shared" ref="G230" si="167">IF(V230="","",COUNTIFS($H$172:$H$242,H230,$Y$172:$Y$242,"&gt;"&amp;Y230)+1)</f>
        <v/>
      </c>
      <c r="H230" t="str">
        <f>IF(V230="","",IFERROR(VLOOKUP(TRIM($V230),KEY!$B$2:$F$72,3,FALSE),""))</f>
        <v/>
      </c>
      <c r="I230" t="str">
        <f t="shared" ref="I230" si="168">IF(V230="","","WEST-"&amp;K230)</f>
        <v/>
      </c>
      <c r="J230" t="str">
        <f t="shared" ref="J230" si="169">IF(V230="","",$Y$1&amp;"-"&amp;I230)</f>
        <v/>
      </c>
      <c r="K230" t="str">
        <f t="shared" ref="K230" si="170">IFERROR(IF(V230="","",RANK(L230,$L$172:$L$242,1)),"-")</f>
        <v/>
      </c>
      <c r="L230" t="str">
        <f t="shared" ref="L230" si="171">IFERROR(IF(V230="","",N230+(M230/100)),"-")</f>
        <v/>
      </c>
      <c r="M230" t="str">
        <f>IF(V230="","",IFERROR(VLOOKUP(TRIM($V230),KEY!$B$2:$F$72,5,FALSE),""))</f>
        <v/>
      </c>
      <c r="N230" t="str">
        <f t="shared" ref="N230" si="172">IFERROR(IF(V230="","",RANK(Y230,$Y$172:$Y$242)),"-")</f>
        <v/>
      </c>
      <c r="O230" t="str">
        <f t="shared" ref="O230" si="173">IF(V230="","",T230&amp;"-"&amp;P230)</f>
        <v/>
      </c>
      <c r="P230" t="str">
        <f t="shared" ref="P230" si="174">IF(OR(V230="",Q230=""),"",COUNTIFS($T$4:$T$74,T230,$Q$4:$Q$74,"&lt;"&amp;Q230)+1)</f>
        <v/>
      </c>
      <c r="Q230" t="str">
        <f t="shared" ref="Q230" si="175">IF(OR(V230="",W230=0),"",S230+(R230/100))</f>
        <v/>
      </c>
      <c r="R230" t="str">
        <f t="shared" ref="R230" si="176">IF(V230="","",COUNTIFS($T$172:$T$242,T230,$V$172:$V$242,"&lt;"&amp;V230)+1)</f>
        <v/>
      </c>
      <c r="S230" t="str">
        <f t="shared" ref="S230" si="177">IF(V230="","",COUNTIFS($T$172:$T$242,T230,$Y$172:$Y$242,"&gt;"&amp;Y230)+1)</f>
        <v/>
      </c>
      <c r="T230" t="str">
        <f>IF(V230="","",IFERROR(VLOOKUP(TRIM($V230),KEY!$B$2:$F$72,2,FALSE),""))</f>
        <v/>
      </c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</row>
    <row r="231" spans="2:39" x14ac:dyDescent="0.35">
      <c r="B231" t="str">
        <f t="shared" si="132"/>
        <v/>
      </c>
      <c r="C231" t="str">
        <f t="shared" si="133"/>
        <v/>
      </c>
      <c r="D231" t="str">
        <f t="shared" si="154"/>
        <v/>
      </c>
      <c r="E231" t="str">
        <f t="shared" si="134"/>
        <v/>
      </c>
      <c r="F231" t="str">
        <f t="shared" si="155"/>
        <v/>
      </c>
      <c r="G231" t="str">
        <f t="shared" si="156"/>
        <v/>
      </c>
      <c r="H231" t="str">
        <f>IF(V231="","",IFERROR(VLOOKUP(TRIM($V231),KEY!$B$2:$F$72,3,FALSE),""))</f>
        <v/>
      </c>
      <c r="I231" t="str">
        <f t="shared" si="135"/>
        <v/>
      </c>
      <c r="J231" t="str">
        <f t="shared" si="161"/>
        <v/>
      </c>
      <c r="K231" t="str">
        <f t="shared" si="157"/>
        <v/>
      </c>
      <c r="L231" t="str">
        <f t="shared" si="136"/>
        <v/>
      </c>
      <c r="M231" t="str">
        <f>IF(V231="","",IFERROR(VLOOKUP(TRIM($V231),KEY!$B$2:$F$72,5,FALSE),""))</f>
        <v/>
      </c>
      <c r="N231" t="str">
        <f t="shared" si="158"/>
        <v/>
      </c>
      <c r="O231" t="str">
        <f t="shared" si="137"/>
        <v/>
      </c>
      <c r="P231" t="str">
        <f t="shared" si="138"/>
        <v/>
      </c>
      <c r="Q231" t="str">
        <f t="shared" si="139"/>
        <v/>
      </c>
      <c r="R231" t="str">
        <f t="shared" si="159"/>
        <v/>
      </c>
      <c r="S231" t="str">
        <f t="shared" si="160"/>
        <v/>
      </c>
      <c r="T231" t="str">
        <f>IF(V231="","",IFERROR(VLOOKUP(TRIM($V231),KEY!$B$2:$F$72,2,FALSE),""))</f>
        <v/>
      </c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</row>
    <row r="232" spans="2:39" x14ac:dyDescent="0.35">
      <c r="B232" t="str">
        <f t="shared" si="132"/>
        <v/>
      </c>
      <c r="C232" t="str">
        <f t="shared" si="133"/>
        <v/>
      </c>
      <c r="D232" t="str">
        <f t="shared" si="154"/>
        <v/>
      </c>
      <c r="E232" t="str">
        <f t="shared" si="134"/>
        <v/>
      </c>
      <c r="F232" t="str">
        <f t="shared" si="155"/>
        <v/>
      </c>
      <c r="G232" t="str">
        <f t="shared" si="156"/>
        <v/>
      </c>
      <c r="H232" t="str">
        <f>IF(V232="","",IFERROR(VLOOKUP(TRIM($V232),KEY!$B$2:$F$72,3,FALSE),""))</f>
        <v/>
      </c>
      <c r="I232" t="str">
        <f t="shared" si="135"/>
        <v/>
      </c>
      <c r="J232" t="str">
        <f t="shared" si="161"/>
        <v/>
      </c>
      <c r="K232" t="str">
        <f t="shared" si="157"/>
        <v/>
      </c>
      <c r="L232" t="str">
        <f t="shared" si="136"/>
        <v/>
      </c>
      <c r="M232" t="str">
        <f>IF(V232="","",IFERROR(VLOOKUP(TRIM($V232),KEY!$B$2:$F$72,5,FALSE),""))</f>
        <v/>
      </c>
      <c r="N232" t="str">
        <f t="shared" si="158"/>
        <v/>
      </c>
      <c r="O232" t="str">
        <f t="shared" si="137"/>
        <v/>
      </c>
      <c r="P232" t="str">
        <f t="shared" si="138"/>
        <v/>
      </c>
      <c r="Q232" t="str">
        <f t="shared" si="139"/>
        <v/>
      </c>
      <c r="R232" t="str">
        <f t="shared" si="159"/>
        <v/>
      </c>
      <c r="S232" t="str">
        <f t="shared" si="160"/>
        <v/>
      </c>
      <c r="T232" t="str">
        <f>IF(V232="","",IFERROR(VLOOKUP(TRIM($V232),KEY!$B$2:$F$72,2,FALSE),""))</f>
        <v/>
      </c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</row>
    <row r="233" spans="2:39" x14ac:dyDescent="0.35">
      <c r="B233" t="str">
        <f t="shared" si="132"/>
        <v/>
      </c>
      <c r="C233" t="str">
        <f t="shared" si="133"/>
        <v/>
      </c>
      <c r="D233" t="str">
        <f t="shared" si="154"/>
        <v/>
      </c>
      <c r="E233" t="str">
        <f t="shared" si="134"/>
        <v/>
      </c>
      <c r="F233" t="str">
        <f t="shared" si="155"/>
        <v/>
      </c>
      <c r="G233" t="str">
        <f t="shared" si="156"/>
        <v/>
      </c>
      <c r="H233" t="str">
        <f>IF(V233="","",IFERROR(VLOOKUP(TRIM($V233),KEY!$B$2:$F$72,3,FALSE),""))</f>
        <v/>
      </c>
      <c r="I233" t="str">
        <f t="shared" si="135"/>
        <v/>
      </c>
      <c r="J233" t="str">
        <f t="shared" si="161"/>
        <v/>
      </c>
      <c r="K233" t="str">
        <f t="shared" si="157"/>
        <v/>
      </c>
      <c r="L233" t="str">
        <f t="shared" si="136"/>
        <v/>
      </c>
      <c r="M233" t="str">
        <f>IF(V233="","",IFERROR(VLOOKUP(TRIM($V233),KEY!$B$2:$F$72,5,FALSE),""))</f>
        <v/>
      </c>
      <c r="N233" t="str">
        <f t="shared" si="158"/>
        <v/>
      </c>
      <c r="O233" t="str">
        <f t="shared" si="137"/>
        <v/>
      </c>
      <c r="P233" t="str">
        <f t="shared" si="138"/>
        <v/>
      </c>
      <c r="Q233" t="str">
        <f t="shared" si="139"/>
        <v/>
      </c>
      <c r="R233" t="str">
        <f t="shared" si="159"/>
        <v/>
      </c>
      <c r="S233" t="str">
        <f t="shared" si="160"/>
        <v/>
      </c>
      <c r="T233" t="str">
        <f>IF(V233="","",IFERROR(VLOOKUP(TRIM($V233),KEY!$B$2:$F$72,2,FALSE),""))</f>
        <v/>
      </c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</row>
    <row r="234" spans="2:39" x14ac:dyDescent="0.35">
      <c r="B234" t="str">
        <f t="shared" si="132"/>
        <v/>
      </c>
      <c r="C234" t="str">
        <f t="shared" si="133"/>
        <v/>
      </c>
      <c r="D234" t="str">
        <f t="shared" si="154"/>
        <v/>
      </c>
      <c r="E234" t="str">
        <f t="shared" si="134"/>
        <v/>
      </c>
      <c r="F234" t="str">
        <f t="shared" si="155"/>
        <v/>
      </c>
      <c r="G234" t="str">
        <f t="shared" si="156"/>
        <v/>
      </c>
      <c r="H234" t="str">
        <f>IF(V234="","",IFERROR(VLOOKUP(TRIM($V234),KEY!$B$2:$F$72,3,FALSE),""))</f>
        <v/>
      </c>
      <c r="I234" t="str">
        <f t="shared" si="135"/>
        <v/>
      </c>
      <c r="J234" t="str">
        <f t="shared" si="161"/>
        <v/>
      </c>
      <c r="K234" t="str">
        <f t="shared" si="157"/>
        <v/>
      </c>
      <c r="L234" t="str">
        <f t="shared" si="136"/>
        <v/>
      </c>
      <c r="M234" t="str">
        <f>IF(V234="","",IFERROR(VLOOKUP(TRIM($V234),KEY!$B$2:$F$72,5,FALSE),""))</f>
        <v/>
      </c>
      <c r="N234" t="str">
        <f t="shared" si="158"/>
        <v/>
      </c>
      <c r="O234" t="str">
        <f t="shared" si="137"/>
        <v/>
      </c>
      <c r="P234" t="str">
        <f t="shared" si="138"/>
        <v/>
      </c>
      <c r="Q234" t="str">
        <f t="shared" si="139"/>
        <v/>
      </c>
      <c r="R234" t="str">
        <f t="shared" si="159"/>
        <v/>
      </c>
      <c r="S234" t="str">
        <f t="shared" si="160"/>
        <v/>
      </c>
      <c r="T234" t="str">
        <f>IF(V234="","",IFERROR(VLOOKUP(TRIM($V234),KEY!$B$2:$F$72,2,FALSE),""))</f>
        <v/>
      </c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</row>
    <row r="235" spans="2:39" x14ac:dyDescent="0.35">
      <c r="B235" t="str">
        <f t="shared" si="132"/>
        <v/>
      </c>
      <c r="C235" t="str">
        <f t="shared" si="133"/>
        <v/>
      </c>
      <c r="D235" t="str">
        <f t="shared" si="154"/>
        <v/>
      </c>
      <c r="E235" t="str">
        <f t="shared" si="134"/>
        <v/>
      </c>
      <c r="F235" t="str">
        <f t="shared" si="155"/>
        <v/>
      </c>
      <c r="G235" t="str">
        <f t="shared" si="156"/>
        <v/>
      </c>
      <c r="H235" t="str">
        <f>IF(V235="","",IFERROR(VLOOKUP(TRIM($V235),KEY!$B$2:$F$72,3,FALSE),""))</f>
        <v/>
      </c>
      <c r="I235" t="str">
        <f t="shared" si="135"/>
        <v/>
      </c>
      <c r="J235" t="str">
        <f t="shared" si="161"/>
        <v/>
      </c>
      <c r="K235" t="str">
        <f t="shared" si="157"/>
        <v/>
      </c>
      <c r="L235" t="str">
        <f t="shared" si="136"/>
        <v/>
      </c>
      <c r="M235" t="str">
        <f>IF(V235="","",IFERROR(VLOOKUP(TRIM($V235),KEY!$B$2:$F$72,5,FALSE),""))</f>
        <v/>
      </c>
      <c r="N235" t="str">
        <f t="shared" si="158"/>
        <v/>
      </c>
      <c r="O235" t="str">
        <f t="shared" si="137"/>
        <v/>
      </c>
      <c r="P235" t="str">
        <f t="shared" si="138"/>
        <v/>
      </c>
      <c r="Q235" t="str">
        <f t="shared" si="139"/>
        <v/>
      </c>
      <c r="R235" t="str">
        <f t="shared" si="159"/>
        <v/>
      </c>
      <c r="S235" t="str">
        <f t="shared" si="160"/>
        <v/>
      </c>
      <c r="T235" t="str">
        <f>IF(V235="","",IFERROR(VLOOKUP(TRIM($V235),KEY!$B$2:$F$72,2,FALSE),""))</f>
        <v/>
      </c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</row>
    <row r="236" spans="2:39" x14ac:dyDescent="0.35">
      <c r="B236" t="str">
        <f t="shared" si="132"/>
        <v/>
      </c>
      <c r="C236" t="str">
        <f t="shared" si="133"/>
        <v/>
      </c>
      <c r="D236" t="str">
        <f t="shared" si="154"/>
        <v/>
      </c>
      <c r="E236" t="str">
        <f t="shared" si="134"/>
        <v/>
      </c>
      <c r="F236" t="str">
        <f t="shared" si="155"/>
        <v/>
      </c>
      <c r="G236" t="str">
        <f t="shared" si="156"/>
        <v/>
      </c>
      <c r="H236" t="str">
        <f>IF(V236="","",IFERROR(VLOOKUP(TRIM($V236),KEY!$B$2:$F$72,3,FALSE),""))</f>
        <v/>
      </c>
      <c r="I236" t="str">
        <f t="shared" si="135"/>
        <v/>
      </c>
      <c r="J236" t="str">
        <f t="shared" si="161"/>
        <v/>
      </c>
      <c r="K236" t="str">
        <f t="shared" si="157"/>
        <v/>
      </c>
      <c r="L236" t="str">
        <f t="shared" si="136"/>
        <v/>
      </c>
      <c r="M236" t="str">
        <f>IF(V236="","",IFERROR(VLOOKUP(TRIM($V236),KEY!$B$2:$F$72,5,FALSE),""))</f>
        <v/>
      </c>
      <c r="N236" t="str">
        <f t="shared" si="158"/>
        <v/>
      </c>
      <c r="O236" t="str">
        <f t="shared" si="137"/>
        <v/>
      </c>
      <c r="P236" t="str">
        <f t="shared" si="138"/>
        <v/>
      </c>
      <c r="Q236" t="str">
        <f t="shared" si="139"/>
        <v/>
      </c>
      <c r="R236" t="str">
        <f t="shared" si="159"/>
        <v/>
      </c>
      <c r="S236" t="str">
        <f t="shared" si="160"/>
        <v/>
      </c>
      <c r="T236" t="str">
        <f>IF(V236="","",IFERROR(VLOOKUP(TRIM($V236),KEY!$B$2:$F$72,2,FALSE),""))</f>
        <v/>
      </c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</row>
    <row r="237" spans="2:39" x14ac:dyDescent="0.35">
      <c r="B237" t="str">
        <f t="shared" si="132"/>
        <v/>
      </c>
      <c r="C237" t="str">
        <f t="shared" si="133"/>
        <v/>
      </c>
      <c r="D237" t="str">
        <f t="shared" si="154"/>
        <v/>
      </c>
      <c r="E237" t="str">
        <f t="shared" si="134"/>
        <v/>
      </c>
      <c r="F237" t="str">
        <f t="shared" si="155"/>
        <v/>
      </c>
      <c r="G237" t="str">
        <f t="shared" si="156"/>
        <v/>
      </c>
      <c r="H237" t="str">
        <f>IF(V237="","",IFERROR(VLOOKUP(TRIM($V237),KEY!$B$2:$F$72,3,FALSE),""))</f>
        <v/>
      </c>
      <c r="I237" t="str">
        <f t="shared" si="135"/>
        <v/>
      </c>
      <c r="J237" t="str">
        <f t="shared" si="161"/>
        <v/>
      </c>
      <c r="K237" t="str">
        <f t="shared" si="157"/>
        <v/>
      </c>
      <c r="L237" t="str">
        <f t="shared" si="136"/>
        <v/>
      </c>
      <c r="M237" t="str">
        <f>IF(V237="","",IFERROR(VLOOKUP(TRIM($V237),KEY!$B$2:$F$72,5,FALSE),""))</f>
        <v/>
      </c>
      <c r="N237" t="str">
        <f t="shared" si="158"/>
        <v/>
      </c>
      <c r="O237" t="str">
        <f t="shared" si="137"/>
        <v/>
      </c>
      <c r="P237" t="str">
        <f t="shared" ref="P237:P242" si="178">IF(OR(V237="",Q237=""),"",COUNTIFS($T$4:$T$74,T237,$Q$4:$Q$74,"&lt;"&amp;Q237)+1)</f>
        <v/>
      </c>
      <c r="Q237" t="str">
        <f t="shared" ref="Q237:Q242" si="179">IF(OR(V237="",W237=0),"",S237+(R237/100))</f>
        <v/>
      </c>
      <c r="R237" t="str">
        <f t="shared" si="159"/>
        <v/>
      </c>
      <c r="S237" t="str">
        <f t="shared" si="160"/>
        <v/>
      </c>
      <c r="T237" t="str">
        <f>IF(V237="","",IFERROR(VLOOKUP(TRIM($V237),KEY!$B$2:$F$72,2,FALSE),""))</f>
        <v/>
      </c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</row>
    <row r="238" spans="2:39" x14ac:dyDescent="0.35">
      <c r="B238" t="str">
        <f t="shared" si="132"/>
        <v/>
      </c>
      <c r="C238" t="str">
        <f t="shared" si="133"/>
        <v/>
      </c>
      <c r="D238" t="str">
        <f t="shared" si="154"/>
        <v/>
      </c>
      <c r="E238" t="str">
        <f t="shared" si="134"/>
        <v/>
      </c>
      <c r="F238" t="str">
        <f t="shared" si="155"/>
        <v/>
      </c>
      <c r="G238" t="str">
        <f t="shared" si="156"/>
        <v/>
      </c>
      <c r="H238" t="str">
        <f>IF(V238="","",IFERROR(VLOOKUP(TRIM($V238),KEY!$B$2:$F$72,3,FALSE),""))</f>
        <v/>
      </c>
      <c r="I238" t="str">
        <f t="shared" si="135"/>
        <v/>
      </c>
      <c r="J238" t="str">
        <f t="shared" si="161"/>
        <v/>
      </c>
      <c r="K238" t="str">
        <f t="shared" si="157"/>
        <v/>
      </c>
      <c r="L238" t="str">
        <f t="shared" si="136"/>
        <v/>
      </c>
      <c r="M238" t="str">
        <f>IF(V238="","",IFERROR(VLOOKUP(TRIM($V238),KEY!$B$2:$F$72,5,FALSE),""))</f>
        <v/>
      </c>
      <c r="N238" t="str">
        <f t="shared" si="158"/>
        <v/>
      </c>
      <c r="O238" t="str">
        <f t="shared" si="137"/>
        <v/>
      </c>
      <c r="P238" t="str">
        <f t="shared" si="178"/>
        <v/>
      </c>
      <c r="Q238" t="str">
        <f t="shared" si="179"/>
        <v/>
      </c>
      <c r="R238" t="str">
        <f t="shared" si="159"/>
        <v/>
      </c>
      <c r="S238" t="str">
        <f t="shared" si="160"/>
        <v/>
      </c>
      <c r="T238" t="str">
        <f>IF(V238="","",IFERROR(VLOOKUP(TRIM($V238),KEY!$B$2:$F$72,2,FALSE),""))</f>
        <v/>
      </c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</row>
    <row r="239" spans="2:39" x14ac:dyDescent="0.35">
      <c r="B239" t="str">
        <f t="shared" si="132"/>
        <v/>
      </c>
      <c r="C239" t="str">
        <f t="shared" si="133"/>
        <v/>
      </c>
      <c r="D239" t="str">
        <f t="shared" si="154"/>
        <v/>
      </c>
      <c r="E239" t="str">
        <f t="shared" si="134"/>
        <v/>
      </c>
      <c r="F239" t="str">
        <f t="shared" si="155"/>
        <v/>
      </c>
      <c r="G239" t="str">
        <f t="shared" si="156"/>
        <v/>
      </c>
      <c r="H239" t="str">
        <f>IF(V239="","",IFERROR(VLOOKUP(TRIM($V239),KEY!$B$2:$F$72,3,FALSE),""))</f>
        <v/>
      </c>
      <c r="I239" t="str">
        <f t="shared" si="135"/>
        <v/>
      </c>
      <c r="J239" t="str">
        <f t="shared" si="161"/>
        <v/>
      </c>
      <c r="K239" t="str">
        <f t="shared" si="157"/>
        <v/>
      </c>
      <c r="L239" t="str">
        <f t="shared" si="136"/>
        <v/>
      </c>
      <c r="M239" t="str">
        <f>IF(V239="","",IFERROR(VLOOKUP(TRIM($V239),KEY!$B$2:$F$72,5,FALSE),""))</f>
        <v/>
      </c>
      <c r="N239" t="str">
        <f t="shared" si="158"/>
        <v/>
      </c>
      <c r="O239" t="str">
        <f t="shared" si="137"/>
        <v/>
      </c>
      <c r="P239" t="str">
        <f t="shared" si="178"/>
        <v/>
      </c>
      <c r="Q239" t="str">
        <f t="shared" si="179"/>
        <v/>
      </c>
      <c r="R239" t="str">
        <f t="shared" si="159"/>
        <v/>
      </c>
      <c r="S239" t="str">
        <f t="shared" si="160"/>
        <v/>
      </c>
      <c r="T239" t="str">
        <f>IF(V239="","",IFERROR(VLOOKUP(TRIM($V239),KEY!$B$2:$F$72,2,FALSE),""))</f>
        <v/>
      </c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</row>
    <row r="240" spans="2:39" x14ac:dyDescent="0.35">
      <c r="B240" t="str">
        <f t="shared" si="132"/>
        <v/>
      </c>
      <c r="C240" t="str">
        <f t="shared" si="133"/>
        <v/>
      </c>
      <c r="D240" t="str">
        <f t="shared" si="154"/>
        <v/>
      </c>
      <c r="E240" t="str">
        <f t="shared" si="134"/>
        <v/>
      </c>
      <c r="F240" t="str">
        <f t="shared" si="155"/>
        <v/>
      </c>
      <c r="G240" t="str">
        <f t="shared" si="156"/>
        <v/>
      </c>
      <c r="H240" t="str">
        <f>IF(V240="","",IFERROR(VLOOKUP(TRIM($V240),KEY!$B$2:$F$72,3,FALSE),""))</f>
        <v/>
      </c>
      <c r="I240" t="str">
        <f t="shared" si="135"/>
        <v/>
      </c>
      <c r="J240" t="str">
        <f t="shared" si="161"/>
        <v/>
      </c>
      <c r="K240" t="str">
        <f t="shared" si="157"/>
        <v/>
      </c>
      <c r="L240" t="str">
        <f t="shared" si="136"/>
        <v/>
      </c>
      <c r="M240" t="str">
        <f>IF(V240="","",IFERROR(VLOOKUP(TRIM($V240),KEY!$B$2:$F$72,5,FALSE),""))</f>
        <v/>
      </c>
      <c r="N240" t="str">
        <f t="shared" si="158"/>
        <v/>
      </c>
      <c r="O240" t="str">
        <f t="shared" si="137"/>
        <v/>
      </c>
      <c r="P240" t="str">
        <f t="shared" si="178"/>
        <v/>
      </c>
      <c r="Q240" t="str">
        <f t="shared" si="179"/>
        <v/>
      </c>
      <c r="R240" t="str">
        <f t="shared" si="159"/>
        <v/>
      </c>
      <c r="S240" t="str">
        <f t="shared" si="160"/>
        <v/>
      </c>
      <c r="T240" t="str">
        <f>IF(V240="","",IFERROR(VLOOKUP(TRIM($V240),KEY!$B$2:$F$72,2,FALSE),""))</f>
        <v/>
      </c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</row>
    <row r="241" spans="1:39" x14ac:dyDescent="0.35">
      <c r="B241" t="str">
        <f t="shared" si="132"/>
        <v/>
      </c>
      <c r="C241" t="str">
        <f t="shared" si="133"/>
        <v/>
      </c>
      <c r="D241" t="str">
        <f t="shared" si="154"/>
        <v/>
      </c>
      <c r="E241" t="str">
        <f t="shared" si="134"/>
        <v/>
      </c>
      <c r="F241" t="str">
        <f t="shared" si="155"/>
        <v/>
      </c>
      <c r="G241" t="str">
        <f t="shared" si="156"/>
        <v/>
      </c>
      <c r="H241" t="str">
        <f>IF(V241="","",IFERROR(VLOOKUP(TRIM($V241),KEY!$B$2:$F$72,3,FALSE),""))</f>
        <v/>
      </c>
      <c r="I241" t="str">
        <f t="shared" si="135"/>
        <v/>
      </c>
      <c r="J241" t="str">
        <f t="shared" si="161"/>
        <v/>
      </c>
      <c r="K241" t="str">
        <f t="shared" si="157"/>
        <v/>
      </c>
      <c r="L241" t="str">
        <f t="shared" si="136"/>
        <v/>
      </c>
      <c r="M241" t="str">
        <f>IF(V241="","",IFERROR(VLOOKUP(TRIM($V241),KEY!$B$2:$F$72,5,FALSE),""))</f>
        <v/>
      </c>
      <c r="N241" t="str">
        <f t="shared" si="158"/>
        <v/>
      </c>
      <c r="O241" t="str">
        <f t="shared" si="137"/>
        <v/>
      </c>
      <c r="P241" t="str">
        <f t="shared" si="178"/>
        <v/>
      </c>
      <c r="Q241" t="str">
        <f t="shared" si="179"/>
        <v/>
      </c>
      <c r="R241" t="str">
        <f t="shared" si="159"/>
        <v/>
      </c>
      <c r="S241" t="str">
        <f t="shared" si="160"/>
        <v/>
      </c>
      <c r="T241" t="str">
        <f>IF(V241="","",IFERROR(VLOOKUP(TRIM($V241),KEY!$B$2:$F$72,2,FALSE),""))</f>
        <v/>
      </c>
      <c r="V241" s="79"/>
      <c r="W241" s="79" t="s">
        <v>202</v>
      </c>
      <c r="X241" s="79" t="s">
        <v>202</v>
      </c>
      <c r="Y241" s="79" t="s">
        <v>202</v>
      </c>
      <c r="Z241" s="79" t="s">
        <v>202</v>
      </c>
      <c r="AA241" s="79" t="s">
        <v>202</v>
      </c>
      <c r="AB241" s="79" t="s">
        <v>202</v>
      </c>
      <c r="AC241" s="79" t="s">
        <v>202</v>
      </c>
      <c r="AD241" s="79" t="s">
        <v>202</v>
      </c>
      <c r="AE241" s="79" t="s">
        <v>202</v>
      </c>
      <c r="AF241" s="79" t="s">
        <v>202</v>
      </c>
      <c r="AG241" s="79" t="s">
        <v>202</v>
      </c>
      <c r="AH241" s="79" t="s">
        <v>202</v>
      </c>
      <c r="AI241" s="79" t="s">
        <v>202</v>
      </c>
      <c r="AJ241" s="79" t="s">
        <v>202</v>
      </c>
      <c r="AK241" s="79" t="s">
        <v>202</v>
      </c>
      <c r="AL241" s="79" t="s">
        <v>202</v>
      </c>
      <c r="AM241" s="79" t="s">
        <v>202</v>
      </c>
    </row>
    <row r="242" spans="1:39" x14ac:dyDescent="0.35">
      <c r="B242" t="str">
        <f t="shared" si="132"/>
        <v/>
      </c>
      <c r="C242" t="str">
        <f t="shared" si="133"/>
        <v/>
      </c>
      <c r="D242" t="str">
        <f t="shared" si="154"/>
        <v/>
      </c>
      <c r="E242" t="str">
        <f t="shared" si="134"/>
        <v/>
      </c>
      <c r="F242" t="str">
        <f t="shared" si="155"/>
        <v/>
      </c>
      <c r="G242" t="str">
        <f t="shared" si="156"/>
        <v/>
      </c>
      <c r="H242" t="str">
        <f>IF(V242="","",IFERROR(VLOOKUP(TRIM($V242),KEY!$B$2:$F$72,3,FALSE),""))</f>
        <v/>
      </c>
      <c r="I242" t="str">
        <f t="shared" si="135"/>
        <v/>
      </c>
      <c r="J242" t="str">
        <f t="shared" si="161"/>
        <v/>
      </c>
      <c r="K242" t="str">
        <f t="shared" si="157"/>
        <v/>
      </c>
      <c r="L242" t="str">
        <f t="shared" si="136"/>
        <v/>
      </c>
      <c r="M242" t="str">
        <f>IF(V242="","",IFERROR(VLOOKUP(TRIM($V242),KEY!$B$2:$F$72,5,FALSE),""))</f>
        <v/>
      </c>
      <c r="N242" t="str">
        <f t="shared" si="158"/>
        <v/>
      </c>
      <c r="O242" t="str">
        <f t="shared" si="137"/>
        <v/>
      </c>
      <c r="P242" t="str">
        <f t="shared" si="178"/>
        <v/>
      </c>
      <c r="Q242" t="str">
        <f t="shared" si="179"/>
        <v/>
      </c>
      <c r="R242" t="str">
        <f t="shared" si="159"/>
        <v/>
      </c>
      <c r="S242" t="str">
        <f t="shared" si="160"/>
        <v/>
      </c>
      <c r="T242" t="str">
        <f>IF(V242="","",IFERROR(VLOOKUP(TRIM($V242),KEY!$B$2:$F$72,2,FALSE),""))</f>
        <v/>
      </c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</row>
    <row r="243" spans="1:39" ht="15.5" x14ac:dyDescent="0.35">
      <c r="V243" s="1" t="s">
        <v>203</v>
      </c>
      <c r="W243" s="57">
        <f t="shared" ref="W243:X243" si="180">SUM(W172:W242)</f>
        <v>1014</v>
      </c>
      <c r="X243" s="57">
        <f t="shared" si="180"/>
        <v>116</v>
      </c>
      <c r="Y243" s="58">
        <f>X243/W243</f>
        <v>0.11439842209072978</v>
      </c>
      <c r="Z243" s="57">
        <f t="shared" ref="Z243:AD243" si="181">SUM(Z172:Z242)</f>
        <v>11</v>
      </c>
      <c r="AA243" s="57">
        <f t="shared" si="181"/>
        <v>116</v>
      </c>
      <c r="AB243" s="57">
        <f t="shared" si="181"/>
        <v>2</v>
      </c>
      <c r="AC243" s="57">
        <f t="shared" si="181"/>
        <v>16</v>
      </c>
      <c r="AD243" s="57">
        <f t="shared" si="181"/>
        <v>145</v>
      </c>
      <c r="AE243" s="58">
        <f>AD243/W243</f>
        <v>0.14299802761341224</v>
      </c>
      <c r="AF243" s="57">
        <f>SUM(AF172:AF242)</f>
        <v>217</v>
      </c>
      <c r="AG243" s="57">
        <f>SUM(AG172:AG242)</f>
        <v>22</v>
      </c>
      <c r="AH243" s="57">
        <f>SUM(AH172:AH242)</f>
        <v>592</v>
      </c>
      <c r="AI243" s="58">
        <f>(AF243+AG243+AH243)/W243</f>
        <v>0.81952662721893488</v>
      </c>
      <c r="AJ243" s="57">
        <f>SUM(AJ172:AJ242)</f>
        <v>11</v>
      </c>
      <c r="AK243" s="57">
        <f>SUM(AK172:AK242)</f>
        <v>27</v>
      </c>
      <c r="AL243" s="57">
        <f>SUM(AL172:AL242)</f>
        <v>0</v>
      </c>
      <c r="AM243" s="58">
        <f>(AJ243+AK243+AL243)/W243</f>
        <v>3.7475345167652857E-2</v>
      </c>
    </row>
    <row r="244" spans="1:39" x14ac:dyDescent="0.35">
      <c r="J244" t="str">
        <f ca="1">$Y$1&amp;"-"&amp;O244</f>
        <v>Feb 2026-RGN-7</v>
      </c>
      <c r="N244" t="s">
        <v>204</v>
      </c>
      <c r="O244" t="str">
        <f ca="1">T244&amp;"-"&amp;P244</f>
        <v>RGN-7</v>
      </c>
      <c r="P244">
        <f ca="1">COUNTIFS(T244:T252,T244,Q244:Q252,"&lt;"&amp;Q244)+1</f>
        <v>7</v>
      </c>
      <c r="Q244">
        <f ca="1">S244+(R244/100)</f>
        <v>7.01</v>
      </c>
      <c r="R244">
        <f>COUNTIFS(T244:T252,T244,V244:V252,"&lt;"&amp;V244)+1</f>
        <v>1</v>
      </c>
      <c r="S244">
        <f ca="1">COUNTIFS(T244:T252,T244,Y244:Y252,"&gt;"&amp;Y244)+1</f>
        <v>7</v>
      </c>
      <c r="T244" t="s">
        <v>205</v>
      </c>
      <c r="V244" t="s">
        <v>204</v>
      </c>
      <c r="W244" s="1">
        <f ca="1">SUMIF(H172:W242,N244,W172:W242)</f>
        <v>159</v>
      </c>
      <c r="X244" s="1">
        <f ca="1">SUMIF(H172:X242,N244,X172:X242)</f>
        <v>5</v>
      </c>
      <c r="Y244" s="3">
        <f t="shared" ref="Y244:Y246" ca="1" si="182">X244/W244</f>
        <v>3.1446540880503145E-2</v>
      </c>
      <c r="Z244" s="1">
        <f ca="1">SUMIF(H172:Z242,N244,Z172:Z242)</f>
        <v>3</v>
      </c>
      <c r="AA244" s="1">
        <f ca="1">SUMIF(H172:AA242,N244,AA172:AA242)</f>
        <v>5</v>
      </c>
      <c r="AB244" s="1">
        <f ca="1">SUMIF(H172:AB242,N244,AB172:AB242)</f>
        <v>0</v>
      </c>
      <c r="AC244" s="1">
        <f ca="1">SUMIF(H172:AC242,N244,AC172:AC242)</f>
        <v>1</v>
      </c>
      <c r="AD244" s="1">
        <f ca="1">SUMIF(H172:AD242,N244,AD172:AD242)</f>
        <v>9</v>
      </c>
      <c r="AE244" s="3">
        <f t="shared" ref="AE244:AE246" ca="1" si="183">AD244/W244</f>
        <v>5.6603773584905662E-2</v>
      </c>
      <c r="AF244" s="1">
        <f ca="1">SUMIF(H172:AF242,N244,AF172:AF242)</f>
        <v>8</v>
      </c>
      <c r="AG244" s="1">
        <f ca="1">SUMIF(H172:AG242,N244,AG172:AG242)</f>
        <v>0</v>
      </c>
      <c r="AH244" s="1">
        <f ca="1">SUMIF(H172:AH242,N244,AH172:AH242)</f>
        <v>137</v>
      </c>
      <c r="AI244" s="3">
        <f t="shared" ref="AI244:AI246" ca="1" si="184">(AF244+AG244+AH244)/W244</f>
        <v>0.91194968553459121</v>
      </c>
      <c r="AJ244" s="1">
        <f ca="1">SUMIF(H172:AJ242,N244,AJ172:AJ242)</f>
        <v>0</v>
      </c>
      <c r="AK244" s="1">
        <f ca="1">SUMIF(H172:AK242,N244,AK172:AK242)</f>
        <v>5</v>
      </c>
      <c r="AL244" s="1">
        <f ca="1">SUMIF(H172:AL242,N244,AL172:AL242)</f>
        <v>0</v>
      </c>
      <c r="AM244" s="3">
        <f t="shared" ref="AM244:AM246" ca="1" si="185">(AJ244+AK244+AL244)/W244</f>
        <v>3.1446540880503145E-2</v>
      </c>
    </row>
    <row r="245" spans="1:39" x14ac:dyDescent="0.35">
      <c r="J245" t="str">
        <f t="shared" ref="J245:J246" ca="1" si="186">$Y$1&amp;"-"&amp;O245</f>
        <v>Feb 2026-RGN-2</v>
      </c>
      <c r="N245" t="s">
        <v>206</v>
      </c>
      <c r="O245" t="str">
        <f t="shared" ref="O245:O246" ca="1" si="187">T245&amp;"-"&amp;P245</f>
        <v>RGN-2</v>
      </c>
      <c r="P245">
        <f ca="1">COUNTIFS(T244:T252,T245,Q244:Q252,"&lt;"&amp;Q245)+1</f>
        <v>2</v>
      </c>
      <c r="Q245">
        <f t="shared" ref="Q245:Q246" ca="1" si="188">S245+(R245/100)</f>
        <v>2.02</v>
      </c>
      <c r="R245">
        <f>COUNTIFS(T244:T252,T245,V244:V252,"&lt;"&amp;V245)+1</f>
        <v>2</v>
      </c>
      <c r="S245">
        <f ca="1">COUNTIFS(T244:T252,T245,Y244:Y252,"&gt;"&amp;Y245)+1</f>
        <v>2</v>
      </c>
      <c r="T245" t="s">
        <v>205</v>
      </c>
      <c r="V245" t="s">
        <v>206</v>
      </c>
      <c r="W245" s="1">
        <f ca="1">SUMIF(H172:W242,N245,W172:W242)</f>
        <v>78</v>
      </c>
      <c r="X245" s="1">
        <f ca="1">SUMIF(H172:X242,N245,X172:X242)</f>
        <v>21</v>
      </c>
      <c r="Y245" s="3">
        <f t="shared" ca="1" si="182"/>
        <v>0.26923076923076922</v>
      </c>
      <c r="Z245" s="1">
        <f ca="1">SUMIF(H172:Z242,N245,Z172:Z242)</f>
        <v>1</v>
      </c>
      <c r="AA245" s="1">
        <f ca="1">SUMIF(H172:AA242,N245,AA172:AA242)</f>
        <v>21</v>
      </c>
      <c r="AB245" s="1">
        <f ca="1">SUMIF(H172:AB242,N245,AB172:AB242)</f>
        <v>0</v>
      </c>
      <c r="AC245" s="1">
        <f ca="1">SUMIF(H172:AC242,N245,AC172:AC242)</f>
        <v>2</v>
      </c>
      <c r="AD245" s="1">
        <f ca="1">SUMIF(H172:AD242,N245,AD172:AD242)</f>
        <v>24</v>
      </c>
      <c r="AE245" s="3">
        <f t="shared" ca="1" si="183"/>
        <v>0.30769230769230771</v>
      </c>
      <c r="AF245" s="1">
        <f ca="1">SUMIF(H172:AF242,N245,AF172:AF242)</f>
        <v>41</v>
      </c>
      <c r="AG245" s="1">
        <f ca="1">SUMIF(H172:AG242,N245,AG172:AG242)</f>
        <v>0</v>
      </c>
      <c r="AH245" s="1">
        <f ca="1">SUMIF(H172:AH242,N245,AH172:AH242)</f>
        <v>4</v>
      </c>
      <c r="AI245" s="3">
        <f t="shared" ca="1" si="184"/>
        <v>0.57692307692307687</v>
      </c>
      <c r="AJ245" s="1">
        <f ca="1">SUMIF(H172:AJ242,N245,AJ172:AJ242)</f>
        <v>0</v>
      </c>
      <c r="AK245" s="1">
        <f ca="1">SUMIF(H172:AK242,N245,AK172:AK242)</f>
        <v>9</v>
      </c>
      <c r="AL245" s="1">
        <f ca="1">SUMIF(H172:AL242,N245,AL172:AL242)</f>
        <v>0</v>
      </c>
      <c r="AM245" s="3">
        <f t="shared" ca="1" si="185"/>
        <v>0.11538461538461539</v>
      </c>
    </row>
    <row r="246" spans="1:39" x14ac:dyDescent="0.35">
      <c r="J246" t="str">
        <f t="shared" ca="1" si="186"/>
        <v>Feb 2026-RGN-8</v>
      </c>
      <c r="N246" t="s">
        <v>207</v>
      </c>
      <c r="O246" t="str">
        <f t="shared" ca="1" si="187"/>
        <v>RGN-8</v>
      </c>
      <c r="P246">
        <f ca="1">COUNTIFS(T244:T252,T246,Q244:Q252,"&lt;"&amp;Q246)+1</f>
        <v>8</v>
      </c>
      <c r="Q246">
        <f t="shared" ca="1" si="188"/>
        <v>8.0299999999999994</v>
      </c>
      <c r="R246">
        <f>COUNTIFS(T244:T252,T246,V244:V252,"&lt;"&amp;V246)+1</f>
        <v>3</v>
      </c>
      <c r="S246">
        <f ca="1">COUNTIFS(T244:T252,T246,Y244:Y252,"&gt;"&amp;Y246)+1</f>
        <v>8</v>
      </c>
      <c r="T246" t="s">
        <v>205</v>
      </c>
      <c r="V246" t="s">
        <v>207</v>
      </c>
      <c r="W246" s="1">
        <f ca="1">SUMIF(H172:W242,N246,W172:W242)</f>
        <v>49</v>
      </c>
      <c r="X246" s="1">
        <f ca="1">SUMIF(H172:X242,N246,X172:X242)</f>
        <v>0</v>
      </c>
      <c r="Y246" s="3">
        <f t="shared" ca="1" si="182"/>
        <v>0</v>
      </c>
      <c r="Z246" s="1">
        <f ca="1">SUMIF(H172:Z242,N246,Z172:Z242)</f>
        <v>0</v>
      </c>
      <c r="AA246" s="1">
        <f ca="1">SUMIF(H172:AA242,N246,AA172:AA242)</f>
        <v>0</v>
      </c>
      <c r="AB246" s="1">
        <f ca="1">SUMIF(H172:AB242,N246,AB172:AB242)</f>
        <v>0</v>
      </c>
      <c r="AC246" s="1">
        <f ca="1">SUMIF(H172:AC242,N246,AC172:AC242)</f>
        <v>0</v>
      </c>
      <c r="AD246" s="1">
        <f ca="1">SUMIF(H172:AD242,N246,AD172:AD242)</f>
        <v>0</v>
      </c>
      <c r="AE246" s="3">
        <f t="shared" ca="1" si="183"/>
        <v>0</v>
      </c>
      <c r="AF246" s="1">
        <f ca="1">SUMIF(H172:AF242,N246,AF172:AF242)</f>
        <v>7</v>
      </c>
      <c r="AG246" s="1">
        <f ca="1">SUMIF(H172:AG242,N246,AG172:AG242)</f>
        <v>0</v>
      </c>
      <c r="AH246" s="1">
        <f ca="1">SUMIF(H172:AH242,N246,AH172:AH242)</f>
        <v>42</v>
      </c>
      <c r="AI246" s="3">
        <f t="shared" ca="1" si="184"/>
        <v>1</v>
      </c>
      <c r="AJ246" s="1">
        <f ca="1">SUMIF(H172:AJ242,N246,AJ172:AJ242)</f>
        <v>0</v>
      </c>
      <c r="AK246" s="1">
        <f ca="1">SUMIF(H172:AK242,N246,AK172:AK242)</f>
        <v>0</v>
      </c>
      <c r="AL246" s="1">
        <f ca="1">SUMIF(H172:AL242,N246,AL172:AL242)</f>
        <v>0</v>
      </c>
      <c r="AM246" s="3">
        <f t="shared" ca="1" si="185"/>
        <v>0</v>
      </c>
    </row>
    <row r="247" spans="1:39" x14ac:dyDescent="0.35">
      <c r="J247" t="str">
        <f t="shared" ref="J247:J251" ca="1" si="189">$Y$1&amp;"-"&amp;O247</f>
        <v>Feb 2026-RGN-6</v>
      </c>
      <c r="N247" t="s">
        <v>208</v>
      </c>
      <c r="O247" t="str">
        <f t="shared" ref="O247:O251" ca="1" si="190">T247&amp;"-"&amp;P247</f>
        <v>RGN-6</v>
      </c>
      <c r="P247">
        <f ca="1">COUNTIFS(T243:T251,T247,Q243:Q251,"&lt;"&amp;Q247)+1</f>
        <v>6</v>
      </c>
      <c r="Q247">
        <f t="shared" ref="Q247:Q251" ca="1" si="191">S247+(R247/100)</f>
        <v>6.04</v>
      </c>
      <c r="R247">
        <f>COUNTIFS(T243:T251,T247,V243:V251,"&lt;"&amp;V247)+1</f>
        <v>4</v>
      </c>
      <c r="S247">
        <f ca="1">COUNTIFS(T243:T251,T247,Y243:Y251,"&gt;"&amp;Y247)+1</f>
        <v>6</v>
      </c>
      <c r="T247" t="s">
        <v>205</v>
      </c>
      <c r="V247" t="s">
        <v>208</v>
      </c>
      <c r="W247" s="1">
        <f ca="1">SUMIF(H171:W241,N247,W171:W241)</f>
        <v>180</v>
      </c>
      <c r="X247" s="1">
        <f ca="1">SUMIF(H171:X241,N247,X171:X241)</f>
        <v>10</v>
      </c>
      <c r="Y247" s="3">
        <f t="shared" ref="Y247:Y251" ca="1" si="192">X247/W247</f>
        <v>5.5555555555555552E-2</v>
      </c>
      <c r="Z247" s="1">
        <f ca="1">SUMIF(H171:Z241,N247,Z171:Z241)</f>
        <v>1</v>
      </c>
      <c r="AA247" s="1">
        <f ca="1">SUMIF(H171:AA241,N247,AA171:AA241)</f>
        <v>10</v>
      </c>
      <c r="AB247" s="1">
        <f ca="1">SUMIF(H171:AB241,N247,AB171:AB241)</f>
        <v>0</v>
      </c>
      <c r="AC247" s="1">
        <f ca="1">SUMIF(H171:AC241,N247,AC171:AC241)</f>
        <v>4</v>
      </c>
      <c r="AD247" s="1">
        <f ca="1">SUMIF(H171:AD241,N247,AD171:AD241)</f>
        <v>15</v>
      </c>
      <c r="AE247" s="3">
        <f t="shared" ref="AE247:AE251" ca="1" si="193">AD247/W247</f>
        <v>8.3333333333333329E-2</v>
      </c>
      <c r="AF247" s="1">
        <f ca="1">SUMIF(H171:AF241,N247,AF171:AF241)</f>
        <v>83</v>
      </c>
      <c r="AG247" s="1">
        <f ca="1">SUMIF(H171:AG241,N247,AG171:AG241)</f>
        <v>0</v>
      </c>
      <c r="AH247" s="1">
        <f ca="1">SUMIF(H171:AH241,N247,AH171:AH241)</f>
        <v>78</v>
      </c>
      <c r="AI247" s="3">
        <f t="shared" ref="AI247:AI251" ca="1" si="194">(AF247+AG247+AH247)/W247</f>
        <v>0.89444444444444449</v>
      </c>
      <c r="AJ247" s="1">
        <f ca="1">SUMIF(H171:AJ241,N247,AJ171:AJ241)</f>
        <v>2</v>
      </c>
      <c r="AK247" s="1">
        <f ca="1">SUMIF(H171:AK241,N247,AK171:AK241)</f>
        <v>2</v>
      </c>
      <c r="AL247" s="1">
        <f ca="1">SUMIF(H171:AL241,N247,AL171:AL241)</f>
        <v>0</v>
      </c>
      <c r="AM247" s="3">
        <f t="shared" ref="AM247:AM251" ca="1" si="195">(AJ247+AK247+AL247)/W247</f>
        <v>2.2222222222222223E-2</v>
      </c>
    </row>
    <row r="248" spans="1:39" x14ac:dyDescent="0.35">
      <c r="J248" t="str">
        <f t="shared" ca="1" si="189"/>
        <v>Feb 2026-RGN-3</v>
      </c>
      <c r="N248" t="s">
        <v>209</v>
      </c>
      <c r="O248" t="str">
        <f t="shared" ca="1" si="190"/>
        <v>RGN-3</v>
      </c>
      <c r="P248">
        <f ca="1">COUNTIFS(T243:T251,T248,Q243:Q251,"&lt;"&amp;Q248)+1</f>
        <v>3</v>
      </c>
      <c r="Q248">
        <f t="shared" ca="1" si="191"/>
        <v>3.05</v>
      </c>
      <c r="R248">
        <f>COUNTIFS(T243:T251,T248,V243:V251,"&lt;"&amp;V248)+1</f>
        <v>5</v>
      </c>
      <c r="S248">
        <f ca="1">COUNTIFS(T243:T251,T248,Y243:Y251,"&gt;"&amp;Y248)+1</f>
        <v>3</v>
      </c>
      <c r="T248" t="s">
        <v>205</v>
      </c>
      <c r="V248" t="s">
        <v>209</v>
      </c>
      <c r="W248" s="1">
        <f ca="1">SUMIF(H171:W241,N248,W171:W241)</f>
        <v>307</v>
      </c>
      <c r="X248" s="1">
        <f ca="1">SUMIF(H171:X241,N248,X171:X241)</f>
        <v>55</v>
      </c>
      <c r="Y248" s="3">
        <f t="shared" ca="1" si="192"/>
        <v>0.17915309446254071</v>
      </c>
      <c r="Z248" s="1">
        <f ca="1">SUMIF(H171:Z241,N248,Z171:Z241)</f>
        <v>1</v>
      </c>
      <c r="AA248" s="1">
        <f ca="1">SUMIF(H171:AA241,N248,AA171:AA241)</f>
        <v>55</v>
      </c>
      <c r="AB248" s="1">
        <f ca="1">SUMIF(H171:AB241,N248,AB171:AB241)</f>
        <v>2</v>
      </c>
      <c r="AC248" s="1">
        <f ca="1">SUMIF(H171:AC241,N248,AC171:AC241)</f>
        <v>5</v>
      </c>
      <c r="AD248" s="1">
        <f ca="1">SUMIF(H171:AD241,N248,AD171:AD241)</f>
        <v>63</v>
      </c>
      <c r="AE248" s="3">
        <f t="shared" ca="1" si="193"/>
        <v>0.20521172638436483</v>
      </c>
      <c r="AF248" s="1">
        <f ca="1">SUMIF(H171:AF241,N248,AF171:AF241)</f>
        <v>25</v>
      </c>
      <c r="AG248" s="1">
        <f ca="1">SUMIF(H171:AG241,N248,AG171:AG241)</f>
        <v>22</v>
      </c>
      <c r="AH248" s="1">
        <f ca="1">SUMIF(H171:AH241,N248,AH171:AH241)</f>
        <v>182</v>
      </c>
      <c r="AI248" s="3">
        <f t="shared" ca="1" si="194"/>
        <v>0.74592833876221498</v>
      </c>
      <c r="AJ248" s="1">
        <f ca="1">SUMIF(H171:AJ241,N248,AJ171:AJ241)</f>
        <v>8</v>
      </c>
      <c r="AK248" s="1">
        <f ca="1">SUMIF(H171:AK241,N248,AK171:AK241)</f>
        <v>7</v>
      </c>
      <c r="AL248" s="1">
        <f ca="1">SUMIF(H171:AL241,N248,AL171:AL241)</f>
        <v>0</v>
      </c>
      <c r="AM248" s="3">
        <f t="shared" ca="1" si="195"/>
        <v>4.8859934853420196E-2</v>
      </c>
    </row>
    <row r="249" spans="1:39" x14ac:dyDescent="0.35">
      <c r="J249" t="str">
        <f t="shared" ca="1" si="189"/>
        <v>Feb 2026-RGN-5</v>
      </c>
      <c r="N249" t="s">
        <v>210</v>
      </c>
      <c r="O249" t="str">
        <f t="shared" ca="1" si="190"/>
        <v>RGN-5</v>
      </c>
      <c r="P249">
        <f ca="1">COUNTIFS(T243:T251,T249,Q243:Q251,"&lt;"&amp;Q249)+1</f>
        <v>5</v>
      </c>
      <c r="Q249">
        <f t="shared" ca="1" si="191"/>
        <v>5.0599999999999996</v>
      </c>
      <c r="R249">
        <f>COUNTIFS(T243:T251,T249,V243:V251,"&lt;"&amp;V249)+1</f>
        <v>6</v>
      </c>
      <c r="S249">
        <f ca="1">COUNTIFS(T243:T251,T249,Y243:Y251,"&gt;"&amp;Y249)+1</f>
        <v>5</v>
      </c>
      <c r="T249" t="s">
        <v>205</v>
      </c>
      <c r="V249" t="s">
        <v>210</v>
      </c>
      <c r="W249" s="1">
        <f ca="1">SUMIF(H171:W241,N249,W171:W241)</f>
        <v>159</v>
      </c>
      <c r="X249" s="1">
        <f ca="1">SUMIF(H171:X241,N249,X171:X241)</f>
        <v>12</v>
      </c>
      <c r="Y249" s="3">
        <f t="shared" ca="1" si="192"/>
        <v>7.5471698113207544E-2</v>
      </c>
      <c r="Z249" s="1">
        <f ca="1">SUMIF(H171:Z241,N249,Z171:Z241)</f>
        <v>2</v>
      </c>
      <c r="AA249" s="1">
        <f ca="1">SUMIF(H171:AA241,N249,AA171:AA241)</f>
        <v>12</v>
      </c>
      <c r="AB249" s="1">
        <f ca="1">SUMIF(H171:AB241,N249,AB171:AB241)</f>
        <v>0</v>
      </c>
      <c r="AC249" s="1">
        <f ca="1">SUMIF(H171:AC241,N249,AC171:AC241)</f>
        <v>0</v>
      </c>
      <c r="AD249" s="1">
        <f ca="1">SUMIF(H171:AD241,N249,AD171:AD241)</f>
        <v>14</v>
      </c>
      <c r="AE249" s="3">
        <f t="shared" ca="1" si="193"/>
        <v>8.8050314465408799E-2</v>
      </c>
      <c r="AF249" s="1">
        <f ca="1">SUMIF(H171:AF241,N249,AF171:AF241)</f>
        <v>31</v>
      </c>
      <c r="AG249" s="1">
        <f ca="1">SUMIF(H171:AG241,N249,AG171:AG241)</f>
        <v>0</v>
      </c>
      <c r="AH249" s="1">
        <f ca="1">SUMIF(H171:AH241,N249,AH171:AH241)</f>
        <v>113</v>
      </c>
      <c r="AI249" s="3">
        <f t="shared" ca="1" si="194"/>
        <v>0.90566037735849059</v>
      </c>
      <c r="AJ249" s="1">
        <f ca="1">SUMIF(H171:AJ241,N249,AJ171:AJ241)</f>
        <v>1</v>
      </c>
      <c r="AK249" s="1">
        <f ca="1">SUMIF(H171:AK241,N249,AK171:AK241)</f>
        <v>0</v>
      </c>
      <c r="AL249" s="1">
        <f ca="1">SUMIF(H171:AL241,N249,AL171:AL241)</f>
        <v>0</v>
      </c>
      <c r="AM249" s="3">
        <f t="shared" ca="1" si="195"/>
        <v>6.2893081761006293E-3</v>
      </c>
    </row>
    <row r="250" spans="1:39" x14ac:dyDescent="0.35">
      <c r="J250" t="str">
        <f t="shared" ca="1" si="189"/>
        <v>Feb 2026-RGN-4</v>
      </c>
      <c r="N250" t="s">
        <v>211</v>
      </c>
      <c r="O250" t="str">
        <f t="shared" ca="1" si="190"/>
        <v>RGN-4</v>
      </c>
      <c r="P250">
        <f ca="1">COUNTIFS(T243:T251,T250,Q243:Q251,"&lt;"&amp;Q250)+1</f>
        <v>4</v>
      </c>
      <c r="Q250">
        <f t="shared" ca="1" si="191"/>
        <v>4.07</v>
      </c>
      <c r="R250">
        <f>COUNTIFS(T243:T251,T250,V243:V251,"&lt;"&amp;V250)+1</f>
        <v>7</v>
      </c>
      <c r="S250">
        <f ca="1">COUNTIFS(T243:T251,T250,Y243:Y251,"&gt;"&amp;Y250)+1</f>
        <v>4</v>
      </c>
      <c r="T250" t="s">
        <v>205</v>
      </c>
      <c r="V250" t="s">
        <v>211</v>
      </c>
      <c r="W250" s="1">
        <f ca="1">SUMIF(H171:W241,N250,W171:W241)</f>
        <v>77</v>
      </c>
      <c r="X250" s="1">
        <f ca="1">SUMIF(H171:X241,N250,X171:X241)</f>
        <v>11</v>
      </c>
      <c r="Y250" s="3">
        <f t="shared" ca="1" si="192"/>
        <v>0.14285714285714285</v>
      </c>
      <c r="Z250" s="1">
        <f ca="1">SUMIF(H171:Z241,N250,Z171:Z241)</f>
        <v>3</v>
      </c>
      <c r="AA250" s="1">
        <f ca="1">SUMIF(H171:AA241,N250,AA171:AA241)</f>
        <v>11</v>
      </c>
      <c r="AB250" s="1">
        <f ca="1">SUMIF(H171:AB241,N250,AB171:AB241)</f>
        <v>0</v>
      </c>
      <c r="AC250" s="1">
        <f ca="1">SUMIF(H171:AC241,N250,AC171:AC241)</f>
        <v>3</v>
      </c>
      <c r="AD250" s="1">
        <f ca="1">SUMIF(H171:AD241,N250,AD171:AD241)</f>
        <v>17</v>
      </c>
      <c r="AE250" s="3">
        <f t="shared" ca="1" si="193"/>
        <v>0.22077922077922077</v>
      </c>
      <c r="AF250" s="1">
        <f ca="1">SUMIF(H171:AF241,N250,AF171:AF241)</f>
        <v>20</v>
      </c>
      <c r="AG250" s="1">
        <f ca="1">SUMIF(H171:AG241,N250,AG171:AG241)</f>
        <v>0</v>
      </c>
      <c r="AH250" s="1">
        <f ca="1">SUMIF(H171:AH241,N250,AH171:AH241)</f>
        <v>36</v>
      </c>
      <c r="AI250" s="3">
        <f t="shared" ca="1" si="194"/>
        <v>0.72727272727272729</v>
      </c>
      <c r="AJ250" s="1">
        <f ca="1">SUMIF(H171:AJ241,N250,AJ171:AJ241)</f>
        <v>0</v>
      </c>
      <c r="AK250" s="1">
        <f ca="1">SUMIF(H171:AK241,N250,AK171:AK241)</f>
        <v>4</v>
      </c>
      <c r="AL250" s="1">
        <f ca="1">SUMIF(H171:AL241,N250,AL171:AL241)</f>
        <v>0</v>
      </c>
      <c r="AM250" s="3">
        <f t="shared" ca="1" si="195"/>
        <v>5.1948051948051951E-2</v>
      </c>
    </row>
    <row r="251" spans="1:39" x14ac:dyDescent="0.35">
      <c r="J251" t="str">
        <f t="shared" ca="1" si="189"/>
        <v>Feb 2026-RGN-1</v>
      </c>
      <c r="N251" t="s">
        <v>212</v>
      </c>
      <c r="O251" t="str">
        <f t="shared" ca="1" si="190"/>
        <v>RGN-1</v>
      </c>
      <c r="P251">
        <f ca="1">COUNTIFS(T243:T251,T251,Q243:Q251,"&lt;"&amp;Q251)+1</f>
        <v>1</v>
      </c>
      <c r="Q251">
        <f t="shared" ca="1" si="191"/>
        <v>1.08</v>
      </c>
      <c r="R251">
        <f>COUNTIFS(T243:T251,T251,V243:V251,"&lt;"&amp;V251)+1</f>
        <v>8</v>
      </c>
      <c r="S251">
        <f ca="1">COUNTIFS(T243:T251,T251,Y243:Y251,"&gt;"&amp;Y251)+1</f>
        <v>1</v>
      </c>
      <c r="T251" t="s">
        <v>205</v>
      </c>
      <c r="V251" t="s">
        <v>212</v>
      </c>
      <c r="W251" s="1">
        <f ca="1">SUMIF(H171:W241,N251,W171:W241)</f>
        <v>5</v>
      </c>
      <c r="X251" s="1">
        <f ca="1">SUMIF(H171:X241,N251,X171:X241)</f>
        <v>2</v>
      </c>
      <c r="Y251" s="3">
        <f t="shared" ca="1" si="192"/>
        <v>0.4</v>
      </c>
      <c r="Z251" s="1">
        <f ca="1">SUMIF(H171:Z241,N251,Z171:Z241)</f>
        <v>0</v>
      </c>
      <c r="AA251" s="1">
        <f ca="1">SUMIF(H171:AA241,N251,AA171:AA241)</f>
        <v>2</v>
      </c>
      <c r="AB251" s="1">
        <f ca="1">SUMIF(H171:AB241,N251,AB171:AB241)</f>
        <v>0</v>
      </c>
      <c r="AC251" s="1">
        <f ca="1">SUMIF(H171:AC241,N251,AC171:AC241)</f>
        <v>1</v>
      </c>
      <c r="AD251" s="1">
        <f ca="1">SUMIF(H171:AD241,N251,AD171:AD241)</f>
        <v>3</v>
      </c>
      <c r="AE251" s="3">
        <f t="shared" ca="1" si="193"/>
        <v>0.6</v>
      </c>
      <c r="AF251" s="1">
        <f ca="1">SUMIF(H171:AF241,N251,AF171:AF241)</f>
        <v>2</v>
      </c>
      <c r="AG251" s="1">
        <f ca="1">SUMIF(H171:AG241,N251,AG171:AG241)</f>
        <v>0</v>
      </c>
      <c r="AH251" s="1">
        <f ca="1">SUMIF(H171:AH241,N251,AH171:AH241)</f>
        <v>0</v>
      </c>
      <c r="AI251" s="3">
        <f t="shared" ca="1" si="194"/>
        <v>0.4</v>
      </c>
      <c r="AJ251" s="1">
        <f ca="1">SUMIF(H171:AJ241,N251,AJ171:AJ241)</f>
        <v>0</v>
      </c>
      <c r="AK251" s="1">
        <f ca="1">SUMIF(H171:AK241,N251,AK171:AK241)</f>
        <v>0</v>
      </c>
      <c r="AL251" s="1">
        <f ca="1">SUMIF(H171:AL241,N251,AL171:AL241)</f>
        <v>0</v>
      </c>
      <c r="AM251" s="3">
        <f t="shared" ca="1" si="195"/>
        <v>0</v>
      </c>
    </row>
    <row r="254" spans="1:39" ht="16" customHeight="1" x14ac:dyDescent="0.35">
      <c r="A254" s="2"/>
      <c r="B254" s="2"/>
      <c r="C254" s="107" t="str">
        <f>Z1</f>
        <v>Mar 2026</v>
      </c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</row>
    <row r="255" spans="1:39" x14ac:dyDescent="0.35">
      <c r="A255" s="2"/>
      <c r="B255" s="2" t="s">
        <v>128</v>
      </c>
      <c r="C255" s="2"/>
      <c r="D255" s="2"/>
      <c r="E255" s="2"/>
      <c r="F255" s="2"/>
      <c r="G255" s="2"/>
      <c r="H255" s="2"/>
      <c r="I255" s="2" t="s">
        <v>129</v>
      </c>
      <c r="J255" s="2"/>
      <c r="K255" s="2"/>
      <c r="L255" s="2"/>
      <c r="M255" s="2"/>
      <c r="N255" s="2"/>
      <c r="O255" s="2" t="s">
        <v>130</v>
      </c>
      <c r="P255" s="2"/>
      <c r="Q255" s="2"/>
      <c r="R255" s="2"/>
      <c r="S255" s="2"/>
      <c r="T255" s="2"/>
      <c r="U255" s="2"/>
      <c r="V255" s="2" t="s">
        <v>100</v>
      </c>
      <c r="W255" s="2" t="s">
        <v>131</v>
      </c>
      <c r="X255" s="2" t="s">
        <v>132</v>
      </c>
      <c r="Y255" s="2" t="s">
        <v>133</v>
      </c>
      <c r="Z255" s="2" t="s">
        <v>134</v>
      </c>
      <c r="AA255" s="2" t="s">
        <v>132</v>
      </c>
      <c r="AB255" s="2" t="s">
        <v>135</v>
      </c>
      <c r="AC255" s="2" t="s">
        <v>136</v>
      </c>
      <c r="AD255" s="2" t="s">
        <v>137</v>
      </c>
      <c r="AE255" s="2" t="s">
        <v>138</v>
      </c>
      <c r="AF255" s="2" t="s">
        <v>139</v>
      </c>
      <c r="AG255" s="2" t="s">
        <v>140</v>
      </c>
      <c r="AH255" s="2" t="s">
        <v>15</v>
      </c>
      <c r="AI255" s="2" t="s">
        <v>141</v>
      </c>
      <c r="AJ255" s="2" t="s">
        <v>142</v>
      </c>
      <c r="AK255" s="2" t="s">
        <v>143</v>
      </c>
      <c r="AL255" s="2" t="s">
        <v>144</v>
      </c>
      <c r="AM255" s="2" t="s">
        <v>145</v>
      </c>
    </row>
    <row r="256" spans="1:39" x14ac:dyDescent="0.35">
      <c r="B256" t="str">
        <f>IF(V256="","",H256&amp;"-"&amp;D256)</f>
        <v>Arizona-3</v>
      </c>
      <c r="C256" t="str">
        <f>IF(V256="","",$W$1&amp;"-"&amp;B256)</f>
        <v>Dec 2025-Arizona-3</v>
      </c>
      <c r="D256">
        <f t="shared" ref="D256" si="196">IF(V256="","",COUNTIFS($H$256:$H$325,H256,$E$256:$E$325,"&lt;"&amp;E256)+1)</f>
        <v>3</v>
      </c>
      <c r="E256">
        <f>IF(V256="","",G256+(F256/100))</f>
        <v>3.01</v>
      </c>
      <c r="F256">
        <f t="shared" ref="F256" si="197">IF(V256="","",COUNTIFS($H$256:$H$325,H256,$V$256:$V$325,"&lt;"&amp;V256)+1)</f>
        <v>1</v>
      </c>
      <c r="G256">
        <f t="shared" ref="G256" si="198">IF(V256="","",COUNTIFS($H$256:$H$325,H256,$Y$256:$Y$325,"&gt;"&amp;Y256)+1)</f>
        <v>3</v>
      </c>
      <c r="H256" t="str">
        <f>IF(V256="","",IFERROR(VLOOKUP(TRIM($V256),KEY!$B$2:$F$72,3,FALSE),""))</f>
        <v>Arizona</v>
      </c>
      <c r="I256" t="str">
        <f>IF(V256="","","WEST-"&amp;K256)</f>
        <v>WEST-13</v>
      </c>
      <c r="J256" t="str">
        <f>IF(V256="","",$Z$1&amp;"-"&amp;I256)</f>
        <v>Mar 2026-WEST-13</v>
      </c>
      <c r="K256">
        <f>IFERROR(IF(V256="","",RANK(L256,$L$256:$L$325,1)),"-")</f>
        <v>13</v>
      </c>
      <c r="L256">
        <f>IFERROR(IF(V256="","",N256+(M256/100)),"-")</f>
        <v>13.01</v>
      </c>
      <c r="M256">
        <f>IF(V256="","",IFERROR(VLOOKUP(TRIM($V256),KEY!$B$2:$F$72,5,FALSE),""))</f>
        <v>1</v>
      </c>
      <c r="N256">
        <f>IFERROR(IF(V256="","",RANK(Y256,$Y$256:$Y$325)),"-")</f>
        <v>13</v>
      </c>
      <c r="O256" t="str">
        <f>IF(V256="","",T256&amp;"-"&amp;P256)</f>
        <v>Acura-1</v>
      </c>
      <c r="P256">
        <f>IF(OR(V256="",Q256=""),"",COUNTIFS($T$4:$T$74,T256,$Q$4:$Q$74,"&lt;"&amp;Q256)+1)</f>
        <v>1</v>
      </c>
      <c r="Q256">
        <f>IF(OR(V256="",W256=0),"",S256+(R256/100))</f>
        <v>1.01</v>
      </c>
      <c r="R256">
        <f>IF(V256="","",COUNTIFS($T$256:$T$325,T256,$V$256:$V$325,"&lt;"&amp;V256)+1)</f>
        <v>1</v>
      </c>
      <c r="S256">
        <f t="shared" ref="S256" si="199">IF(V256="","",COUNTIFS($T$339:$T$408,T256,$Y$339:$Y$408,"&gt;"&amp;Y256)+1)</f>
        <v>1</v>
      </c>
      <c r="T256" t="str">
        <f>IF(V256="","",IFERROR(VLOOKUP(TRIM($V256),KEY!$B$2:$F$72,2,FALSE),""))</f>
        <v>Acura</v>
      </c>
      <c r="V256" s="78" t="s">
        <v>146</v>
      </c>
      <c r="W256" s="78">
        <v>14</v>
      </c>
      <c r="X256" s="78">
        <v>1</v>
      </c>
      <c r="Y256" s="78">
        <v>7</v>
      </c>
      <c r="Z256" s="78">
        <v>1</v>
      </c>
      <c r="AA256" s="78">
        <v>1</v>
      </c>
      <c r="AB256" s="78">
        <v>0</v>
      </c>
      <c r="AC256" s="78">
        <v>0</v>
      </c>
      <c r="AD256" s="78">
        <v>2</v>
      </c>
      <c r="AE256" s="78">
        <v>14</v>
      </c>
      <c r="AF256" s="78">
        <v>0</v>
      </c>
      <c r="AG256" s="78">
        <v>0</v>
      </c>
      <c r="AH256" s="78">
        <v>10</v>
      </c>
      <c r="AI256" s="78">
        <v>71</v>
      </c>
      <c r="AJ256" s="78">
        <v>0</v>
      </c>
      <c r="AK256" s="78">
        <v>2</v>
      </c>
      <c r="AL256" s="78">
        <v>0</v>
      </c>
      <c r="AM256" s="78">
        <v>14</v>
      </c>
    </row>
    <row r="257" spans="2:39" x14ac:dyDescent="0.35">
      <c r="B257" t="str">
        <f t="shared" ref="B257:B320" si="200">IF(V257="","",H257&amp;"-"&amp;D257)</f>
        <v>Arizona-12</v>
      </c>
      <c r="C257" t="str">
        <f t="shared" ref="C257:C320" si="201">IF(V257="","",$W$1&amp;"-"&amp;B257)</f>
        <v>Dec 2025-Arizona-12</v>
      </c>
      <c r="D257">
        <f t="shared" ref="D257:D320" si="202">IF(V257="","",COUNTIFS($H$256:$H$325,H257,$E$256:$E$325,"&lt;"&amp;E257)+1)</f>
        <v>12</v>
      </c>
      <c r="E257">
        <f t="shared" ref="E257:E320" si="203">IF(V257="","",G257+(F257/100))</f>
        <v>4.12</v>
      </c>
      <c r="F257">
        <f t="shared" ref="F257:F320" si="204">IF(V257="","",COUNTIFS($H$256:$H$325,H257,$V$256:$V$325,"&lt;"&amp;V257)+1)</f>
        <v>12</v>
      </c>
      <c r="G257">
        <f t="shared" ref="G257:G320" si="205">IF(V257="","",COUNTIFS($H$256:$H$325,H257,$Y$256:$Y$325,"&gt;"&amp;Y257)+1)</f>
        <v>4</v>
      </c>
      <c r="H257" t="str">
        <f>IF(V257="","",IFERROR(VLOOKUP(TRIM($V257),KEY!$B$2:$F$72,3,FALSE),""))</f>
        <v>Arizona</v>
      </c>
      <c r="I257" t="str">
        <f t="shared" ref="I257:I320" si="206">IF(V257="","","WEST-"&amp;K257)</f>
        <v>WEST-52</v>
      </c>
      <c r="J257" t="str">
        <f t="shared" ref="J257:J320" si="207">IF(V257="","",$Z$1&amp;"-"&amp;I257)</f>
        <v>Mar 2026-WEST-52</v>
      </c>
      <c r="K257">
        <f t="shared" ref="K257:K320" si="208">IFERROR(IF(V257="","",RANK(L257,$L$256:$L$325,1)),"-")</f>
        <v>52</v>
      </c>
      <c r="L257">
        <f t="shared" ref="L257:L320" si="209">IFERROR(IF(V257="","",N257+(M257/100)),"-")</f>
        <v>20.57</v>
      </c>
      <c r="M257">
        <f>IF(V257="","",IFERROR(VLOOKUP(TRIM($V257),KEY!$B$2:$F$72,5,FALSE),""))</f>
        <v>57</v>
      </c>
      <c r="N257">
        <f t="shared" ref="N257:N320" si="210">IFERROR(IF(V257="","",RANK(Y257,$Y$256:$Y$325)),"-")</f>
        <v>20</v>
      </c>
      <c r="O257" t="str">
        <f t="shared" ref="O257:O320" si="211">IF(V257="","",T257&amp;"-"&amp;P257)</f>
        <v>Honda-3</v>
      </c>
      <c r="P257">
        <f t="shared" ref="P257:P320" si="212">IF(OR(V257="",Q257=""),"",COUNTIFS($T$4:$T$74,T257,$Q$4:$Q$74,"&lt;"&amp;Q257)+1)</f>
        <v>3</v>
      </c>
      <c r="Q257">
        <f t="shared" ref="Q257:Q320" si="213">IF(OR(V257="",W257=0),"",S257+(R257/100))</f>
        <v>2.0699999999999998</v>
      </c>
      <c r="R257">
        <f t="shared" ref="R257:R320" si="214">IF(V257="","",COUNTIFS($T$256:$T$325,T257,$V$256:$V$325,"&lt;"&amp;V257)+1)</f>
        <v>7</v>
      </c>
      <c r="S257">
        <f t="shared" ref="S257:S320" si="215">IF(V257="","",COUNTIFS($T$339:$T$408,T257,$Y$339:$Y$408,"&gt;"&amp;Y257)+1)</f>
        <v>2</v>
      </c>
      <c r="T257" t="str">
        <f>IF(V257="","",IFERROR(VLOOKUP(TRIM($V257),KEY!$B$2:$F$72,2,FALSE),""))</f>
        <v>Honda</v>
      </c>
      <c r="V257" s="78" t="s">
        <v>147</v>
      </c>
      <c r="W257" s="78">
        <v>28</v>
      </c>
      <c r="X257" s="78">
        <v>0</v>
      </c>
      <c r="Y257" s="78">
        <v>0</v>
      </c>
      <c r="Z257" s="78">
        <v>0</v>
      </c>
      <c r="AA257" s="78">
        <v>0</v>
      </c>
      <c r="AB257" s="78">
        <v>0</v>
      </c>
      <c r="AC257" s="78">
        <v>0</v>
      </c>
      <c r="AD257" s="78">
        <v>0</v>
      </c>
      <c r="AE257" s="78">
        <v>0</v>
      </c>
      <c r="AF257" s="78">
        <v>0</v>
      </c>
      <c r="AG257" s="78">
        <v>0</v>
      </c>
      <c r="AH257" s="78">
        <v>28</v>
      </c>
      <c r="AI257" s="78">
        <v>100</v>
      </c>
      <c r="AJ257" s="78">
        <v>0</v>
      </c>
      <c r="AK257" s="78">
        <v>0</v>
      </c>
      <c r="AL257" s="78">
        <v>0</v>
      </c>
      <c r="AM257" s="78">
        <v>0</v>
      </c>
    </row>
    <row r="258" spans="2:39" x14ac:dyDescent="0.35">
      <c r="B258" t="str">
        <f t="shared" si="200"/>
        <v>Arizona-14</v>
      </c>
      <c r="C258" t="str">
        <f t="shared" si="201"/>
        <v>Dec 2025-Arizona-14</v>
      </c>
      <c r="D258">
        <f t="shared" si="202"/>
        <v>14</v>
      </c>
      <c r="E258">
        <f t="shared" si="203"/>
        <v>4.1399999999999997</v>
      </c>
      <c r="F258">
        <f t="shared" si="204"/>
        <v>14</v>
      </c>
      <c r="G258">
        <f t="shared" si="205"/>
        <v>4</v>
      </c>
      <c r="H258" t="str">
        <f>IF(V258="","",IFERROR(VLOOKUP(TRIM($V258),KEY!$B$2:$F$72,3,FALSE),""))</f>
        <v>Arizona</v>
      </c>
      <c r="I258" t="str">
        <f t="shared" si="206"/>
        <v>WEST-54</v>
      </c>
      <c r="J258" t="str">
        <f t="shared" si="207"/>
        <v>Mar 2026-WEST-54</v>
      </c>
      <c r="K258">
        <f t="shared" si="208"/>
        <v>54</v>
      </c>
      <c r="L258">
        <f t="shared" si="209"/>
        <v>20.61</v>
      </c>
      <c r="M258">
        <f>IF(V258="","",IFERROR(VLOOKUP(TRIM($V258),KEY!$B$2:$F$72,5,FALSE),""))</f>
        <v>61</v>
      </c>
      <c r="N258">
        <f t="shared" si="210"/>
        <v>20</v>
      </c>
      <c r="O258" t="str">
        <f t="shared" si="211"/>
        <v>Volkswagen-2</v>
      </c>
      <c r="P258">
        <f t="shared" si="212"/>
        <v>2</v>
      </c>
      <c r="Q258">
        <f t="shared" si="213"/>
        <v>2.0099999999999998</v>
      </c>
      <c r="R258">
        <f t="shared" si="214"/>
        <v>1</v>
      </c>
      <c r="S258">
        <f t="shared" si="215"/>
        <v>2</v>
      </c>
      <c r="T258" t="str">
        <f>IF(V258="","",IFERROR(VLOOKUP(TRIM($V258),KEY!$B$2:$F$72,2,FALSE),""))</f>
        <v>Volkswagen</v>
      </c>
      <c r="V258" s="78" t="s">
        <v>151</v>
      </c>
      <c r="W258" s="78">
        <v>10</v>
      </c>
      <c r="X258" s="78">
        <v>0</v>
      </c>
      <c r="Y258" s="78">
        <v>0</v>
      </c>
      <c r="Z258" s="78">
        <v>0</v>
      </c>
      <c r="AA258" s="78">
        <v>0</v>
      </c>
      <c r="AB258" s="78">
        <v>0</v>
      </c>
      <c r="AC258" s="78">
        <v>0</v>
      </c>
      <c r="AD258" s="78">
        <v>0</v>
      </c>
      <c r="AE258" s="78">
        <v>0</v>
      </c>
      <c r="AF258" s="78">
        <v>0</v>
      </c>
      <c r="AG258" s="78">
        <v>0</v>
      </c>
      <c r="AH258" s="78">
        <v>10</v>
      </c>
      <c r="AI258" s="78">
        <v>100</v>
      </c>
      <c r="AJ258" s="78">
        <v>0</v>
      </c>
      <c r="AK258" s="78">
        <v>0</v>
      </c>
      <c r="AL258" s="78">
        <v>0</v>
      </c>
      <c r="AM258" s="78">
        <v>0</v>
      </c>
    </row>
    <row r="259" spans="2:39" x14ac:dyDescent="0.35">
      <c r="B259" t="str">
        <f t="shared" si="200"/>
        <v>Arizona-13</v>
      </c>
      <c r="C259" t="str">
        <f t="shared" si="201"/>
        <v>Dec 2025-Arizona-13</v>
      </c>
      <c r="D259">
        <f t="shared" si="202"/>
        <v>13</v>
      </c>
      <c r="E259">
        <f t="shared" si="203"/>
        <v>4.13</v>
      </c>
      <c r="F259">
        <f t="shared" si="204"/>
        <v>13</v>
      </c>
      <c r="G259">
        <f t="shared" si="205"/>
        <v>4</v>
      </c>
      <c r="H259" t="str">
        <f>IF(V259="","",IFERROR(VLOOKUP(TRIM($V259),KEY!$B$2:$F$72,3,FALSE),""))</f>
        <v>Arizona</v>
      </c>
      <c r="I259" t="str">
        <f t="shared" si="206"/>
        <v>WEST-53</v>
      </c>
      <c r="J259" t="str">
        <f t="shared" si="207"/>
        <v>Mar 2026-WEST-53</v>
      </c>
      <c r="K259">
        <f t="shared" si="208"/>
        <v>53</v>
      </c>
      <c r="L259">
        <f t="shared" si="209"/>
        <v>20.6</v>
      </c>
      <c r="M259">
        <f>IF(V259="","",IFERROR(VLOOKUP(TRIM($V259),KEY!$B$2:$F$72,5,FALSE),""))</f>
        <v>60</v>
      </c>
      <c r="N259">
        <f t="shared" si="210"/>
        <v>20</v>
      </c>
      <c r="O259" t="str">
        <f t="shared" si="211"/>
        <v>Toyota-4</v>
      </c>
      <c r="P259">
        <f t="shared" si="212"/>
        <v>4</v>
      </c>
      <c r="Q259">
        <f t="shared" si="213"/>
        <v>3.05</v>
      </c>
      <c r="R259">
        <f t="shared" si="214"/>
        <v>5</v>
      </c>
      <c r="S259">
        <f t="shared" si="215"/>
        <v>3</v>
      </c>
      <c r="T259" t="str">
        <f>IF(V259="","",IFERROR(VLOOKUP(TRIM($V259),KEY!$B$2:$F$72,2,FALSE),""))</f>
        <v>Toyota</v>
      </c>
      <c r="V259" s="78" t="s">
        <v>149</v>
      </c>
      <c r="W259" s="78">
        <v>16</v>
      </c>
      <c r="X259" s="78">
        <v>0</v>
      </c>
      <c r="Y259" s="78">
        <v>0</v>
      </c>
      <c r="Z259" s="78">
        <v>0</v>
      </c>
      <c r="AA259" s="78">
        <v>0</v>
      </c>
      <c r="AB259" s="78">
        <v>0</v>
      </c>
      <c r="AC259" s="78">
        <v>0</v>
      </c>
      <c r="AD259" s="78">
        <v>0</v>
      </c>
      <c r="AE259" s="78">
        <v>0</v>
      </c>
      <c r="AF259" s="78">
        <v>0</v>
      </c>
      <c r="AG259" s="78">
        <v>0</v>
      </c>
      <c r="AH259" s="78">
        <v>16</v>
      </c>
      <c r="AI259" s="78">
        <v>100</v>
      </c>
      <c r="AJ259" s="78">
        <v>0</v>
      </c>
      <c r="AK259" s="78">
        <v>0</v>
      </c>
      <c r="AL259" s="78">
        <v>0</v>
      </c>
      <c r="AM259" s="78">
        <v>0</v>
      </c>
    </row>
    <row r="260" spans="2:39" x14ac:dyDescent="0.35">
      <c r="B260" t="str">
        <f t="shared" si="200"/>
        <v>Arizona-6</v>
      </c>
      <c r="C260" t="str">
        <f t="shared" si="201"/>
        <v>Dec 2025-Arizona-6</v>
      </c>
      <c r="D260">
        <f t="shared" si="202"/>
        <v>6</v>
      </c>
      <c r="E260">
        <f t="shared" si="203"/>
        <v>4.04</v>
      </c>
      <c r="F260">
        <f t="shared" si="204"/>
        <v>4</v>
      </c>
      <c r="G260">
        <f t="shared" si="205"/>
        <v>4</v>
      </c>
      <c r="H260" t="str">
        <f>IF(V260="","",IFERROR(VLOOKUP(TRIM($V260),KEY!$B$2:$F$72,3,FALSE),""))</f>
        <v>Arizona</v>
      </c>
      <c r="I260" t="str">
        <f t="shared" si="206"/>
        <v>WEST-24</v>
      </c>
      <c r="J260" t="str">
        <f t="shared" si="207"/>
        <v>Mar 2026-WEST-24</v>
      </c>
      <c r="K260">
        <f t="shared" si="208"/>
        <v>24</v>
      </c>
      <c r="L260">
        <f t="shared" si="209"/>
        <v>20.11</v>
      </c>
      <c r="M260">
        <f>IF(V260="","",IFERROR(VLOOKUP(TRIM($V260),KEY!$B$2:$F$72,5,FALSE),""))</f>
        <v>11</v>
      </c>
      <c r="N260">
        <f t="shared" si="210"/>
        <v>20</v>
      </c>
      <c r="O260" t="str">
        <f t="shared" si="211"/>
        <v>BMW-4</v>
      </c>
      <c r="P260">
        <f t="shared" si="212"/>
        <v>4</v>
      </c>
      <c r="Q260">
        <f t="shared" si="213"/>
        <v>4.01</v>
      </c>
      <c r="R260">
        <f t="shared" si="214"/>
        <v>1</v>
      </c>
      <c r="S260">
        <f t="shared" si="215"/>
        <v>4</v>
      </c>
      <c r="T260" t="str">
        <f>IF(V260="","",IFERROR(VLOOKUP(TRIM($V260),KEY!$B$2:$F$72,2,FALSE),""))</f>
        <v>BMW</v>
      </c>
      <c r="V260" s="78" t="s">
        <v>150</v>
      </c>
      <c r="W260" s="78">
        <v>52</v>
      </c>
      <c r="X260" s="78">
        <v>0</v>
      </c>
      <c r="Y260" s="78">
        <v>0</v>
      </c>
      <c r="Z260" s="78">
        <v>0</v>
      </c>
      <c r="AA260" s="78">
        <v>0</v>
      </c>
      <c r="AB260" s="78">
        <v>0</v>
      </c>
      <c r="AC260" s="78">
        <v>0</v>
      </c>
      <c r="AD260" s="78">
        <v>0</v>
      </c>
      <c r="AE260" s="78">
        <v>0</v>
      </c>
      <c r="AF260" s="78">
        <v>0</v>
      </c>
      <c r="AG260" s="78">
        <v>0</v>
      </c>
      <c r="AH260" s="78">
        <v>52</v>
      </c>
      <c r="AI260" s="78">
        <v>100</v>
      </c>
      <c r="AJ260" s="78">
        <v>0</v>
      </c>
      <c r="AK260" s="78">
        <v>0</v>
      </c>
      <c r="AL260" s="78">
        <v>0</v>
      </c>
      <c r="AM260" s="78">
        <v>0</v>
      </c>
    </row>
    <row r="261" spans="2:39" x14ac:dyDescent="0.35">
      <c r="B261" t="str">
        <f t="shared" si="200"/>
        <v>Arizona-2</v>
      </c>
      <c r="C261" t="str">
        <f t="shared" si="201"/>
        <v>Dec 2025-Arizona-2</v>
      </c>
      <c r="D261">
        <f t="shared" si="202"/>
        <v>2</v>
      </c>
      <c r="E261">
        <f t="shared" si="203"/>
        <v>2.08</v>
      </c>
      <c r="F261">
        <f t="shared" si="204"/>
        <v>8</v>
      </c>
      <c r="G261">
        <f t="shared" si="205"/>
        <v>2</v>
      </c>
      <c r="H261" t="str">
        <f>IF(V261="","",IFERROR(VLOOKUP(TRIM($V261),KEY!$B$2:$F$72,3,FALSE),""))</f>
        <v>Arizona</v>
      </c>
      <c r="I261" t="str">
        <f t="shared" si="206"/>
        <v>WEST-2</v>
      </c>
      <c r="J261" t="str">
        <f t="shared" si="207"/>
        <v>Mar 2026-WEST-2</v>
      </c>
      <c r="K261">
        <f t="shared" si="208"/>
        <v>2</v>
      </c>
      <c r="L261">
        <f t="shared" si="209"/>
        <v>2.37</v>
      </c>
      <c r="M261">
        <f>IF(V261="","",IFERROR(VLOOKUP(TRIM($V261),KEY!$B$2:$F$72,5,FALSE),""))</f>
        <v>37</v>
      </c>
      <c r="N261">
        <f t="shared" si="210"/>
        <v>2</v>
      </c>
      <c r="O261" t="str">
        <f t="shared" si="211"/>
        <v>Mercedes-Benz-1</v>
      </c>
      <c r="P261">
        <f t="shared" si="212"/>
        <v>1</v>
      </c>
      <c r="Q261">
        <f t="shared" si="213"/>
        <v>1.02</v>
      </c>
      <c r="R261">
        <f t="shared" si="214"/>
        <v>2</v>
      </c>
      <c r="S261">
        <f t="shared" si="215"/>
        <v>1</v>
      </c>
      <c r="T261" t="str">
        <f>IF(V261="","",IFERROR(VLOOKUP(TRIM($V261),KEY!$B$2:$F$72,2,FALSE),""))</f>
        <v>Mercedes-Benz</v>
      </c>
      <c r="V261" s="78" t="s">
        <v>153</v>
      </c>
      <c r="W261" s="78">
        <v>10</v>
      </c>
      <c r="X261" s="78">
        <v>4</v>
      </c>
      <c r="Y261" s="78">
        <v>40</v>
      </c>
      <c r="Z261" s="78">
        <v>0</v>
      </c>
      <c r="AA261" s="78">
        <v>4</v>
      </c>
      <c r="AB261" s="78">
        <v>0</v>
      </c>
      <c r="AC261" s="78">
        <v>0</v>
      </c>
      <c r="AD261" s="78">
        <v>4</v>
      </c>
      <c r="AE261" s="78">
        <v>40</v>
      </c>
      <c r="AF261" s="78">
        <v>3</v>
      </c>
      <c r="AG261" s="78">
        <v>0</v>
      </c>
      <c r="AH261" s="78">
        <v>2</v>
      </c>
      <c r="AI261" s="78">
        <v>50</v>
      </c>
      <c r="AJ261" s="78">
        <v>0</v>
      </c>
      <c r="AK261" s="78">
        <v>1</v>
      </c>
      <c r="AL261" s="78">
        <v>0</v>
      </c>
      <c r="AM261" s="78">
        <v>10</v>
      </c>
    </row>
    <row r="262" spans="2:39" x14ac:dyDescent="0.35">
      <c r="B262" t="str">
        <f t="shared" si="200"/>
        <v>Arizona-8</v>
      </c>
      <c r="C262" t="str">
        <f t="shared" si="201"/>
        <v>Dec 2025-Arizona-8</v>
      </c>
      <c r="D262">
        <f t="shared" si="202"/>
        <v>8</v>
      </c>
      <c r="E262">
        <f t="shared" si="203"/>
        <v>4.0599999999999996</v>
      </c>
      <c r="F262">
        <f t="shared" si="204"/>
        <v>6</v>
      </c>
      <c r="G262">
        <f t="shared" si="205"/>
        <v>4</v>
      </c>
      <c r="H262" t="str">
        <f>IF(V262="","",IFERROR(VLOOKUP(TRIM($V262),KEY!$B$2:$F$72,3,FALSE),""))</f>
        <v>Arizona</v>
      </c>
      <c r="I262" t="str">
        <f t="shared" si="206"/>
        <v>WEST-36</v>
      </c>
      <c r="J262" t="str">
        <f t="shared" si="207"/>
        <v>Mar 2026-WEST-36</v>
      </c>
      <c r="K262">
        <f t="shared" si="208"/>
        <v>36</v>
      </c>
      <c r="L262">
        <f t="shared" si="209"/>
        <v>20.309999999999999</v>
      </c>
      <c r="M262">
        <f>IF(V262="","",IFERROR(VLOOKUP(TRIM($V262),KEY!$B$2:$F$72,5,FALSE),""))</f>
        <v>31</v>
      </c>
      <c r="N262">
        <f t="shared" si="210"/>
        <v>20</v>
      </c>
      <c r="O262" t="str">
        <f t="shared" si="211"/>
        <v>Lexus-1</v>
      </c>
      <c r="P262">
        <f t="shared" si="212"/>
        <v>1</v>
      </c>
      <c r="Q262">
        <f t="shared" si="213"/>
        <v>1.02</v>
      </c>
      <c r="R262">
        <f t="shared" si="214"/>
        <v>2</v>
      </c>
      <c r="S262">
        <f t="shared" si="215"/>
        <v>1</v>
      </c>
      <c r="T262" t="str">
        <f>IF(V262="","",IFERROR(VLOOKUP(TRIM($V262),KEY!$B$2:$F$72,2,FALSE),""))</f>
        <v>Lexus</v>
      </c>
      <c r="V262" s="78" t="s">
        <v>148</v>
      </c>
      <c r="W262" s="78">
        <v>1</v>
      </c>
      <c r="X262" s="78">
        <v>0</v>
      </c>
      <c r="Y262" s="78">
        <v>0</v>
      </c>
      <c r="Z262" s="78">
        <v>0</v>
      </c>
      <c r="AA262" s="78">
        <v>0</v>
      </c>
      <c r="AB262" s="78">
        <v>0</v>
      </c>
      <c r="AC262" s="78">
        <v>0</v>
      </c>
      <c r="AD262" s="78">
        <v>0</v>
      </c>
      <c r="AE262" s="78">
        <v>0</v>
      </c>
      <c r="AF262" s="78">
        <v>0</v>
      </c>
      <c r="AG262" s="78">
        <v>0</v>
      </c>
      <c r="AH262" s="78">
        <v>1</v>
      </c>
      <c r="AI262" s="78">
        <v>100</v>
      </c>
      <c r="AJ262" s="78">
        <v>0</v>
      </c>
      <c r="AK262" s="78">
        <v>0</v>
      </c>
      <c r="AL262" s="78">
        <v>0</v>
      </c>
      <c r="AM262" s="78">
        <v>0</v>
      </c>
    </row>
    <row r="263" spans="2:39" x14ac:dyDescent="0.35">
      <c r="B263" t="str">
        <f t="shared" si="200"/>
        <v>Arizona-7</v>
      </c>
      <c r="C263" t="str">
        <f t="shared" si="201"/>
        <v>Dec 2025-Arizona-7</v>
      </c>
      <c r="D263">
        <f t="shared" si="202"/>
        <v>7</v>
      </c>
      <c r="E263">
        <f t="shared" si="203"/>
        <v>4.05</v>
      </c>
      <c r="F263">
        <f t="shared" si="204"/>
        <v>5</v>
      </c>
      <c r="G263">
        <f t="shared" si="205"/>
        <v>4</v>
      </c>
      <c r="H263" t="str">
        <f>IF(V263="","",IFERROR(VLOOKUP(TRIM($V263),KEY!$B$2:$F$72,3,FALSE),""))</f>
        <v>Arizona</v>
      </c>
      <c r="I263" t="str">
        <f t="shared" si="206"/>
        <v>WEST-34</v>
      </c>
      <c r="J263" t="str">
        <f t="shared" si="207"/>
        <v>Mar 2026-WEST-34</v>
      </c>
      <c r="K263">
        <f t="shared" si="208"/>
        <v>34</v>
      </c>
      <c r="L263">
        <f t="shared" si="209"/>
        <v>20.29</v>
      </c>
      <c r="M263">
        <f>IF(V263="","",IFERROR(VLOOKUP(TRIM($V263),KEY!$B$2:$F$72,5,FALSE),""))</f>
        <v>29</v>
      </c>
      <c r="N263">
        <f t="shared" si="210"/>
        <v>20</v>
      </c>
      <c r="O263" t="str">
        <f t="shared" si="211"/>
        <v>LR-2</v>
      </c>
      <c r="P263">
        <f t="shared" si="212"/>
        <v>2</v>
      </c>
      <c r="Q263">
        <f t="shared" si="213"/>
        <v>2.0099999999999998</v>
      </c>
      <c r="R263">
        <f t="shared" si="214"/>
        <v>1</v>
      </c>
      <c r="S263">
        <f t="shared" si="215"/>
        <v>2</v>
      </c>
      <c r="T263" t="str">
        <f>IF(V263="","",IFERROR(VLOOKUP(TRIM($V263),KEY!$B$2:$F$72,2,FALSE),""))</f>
        <v>LR</v>
      </c>
      <c r="V263" s="78" t="s">
        <v>154</v>
      </c>
      <c r="W263" s="78">
        <v>1</v>
      </c>
      <c r="X263" s="78">
        <v>0</v>
      </c>
      <c r="Y263" s="78">
        <v>0</v>
      </c>
      <c r="Z263" s="78">
        <v>0</v>
      </c>
      <c r="AA263" s="78">
        <v>0</v>
      </c>
      <c r="AB263" s="78">
        <v>0</v>
      </c>
      <c r="AC263" s="78">
        <v>1</v>
      </c>
      <c r="AD263" s="78">
        <v>1</v>
      </c>
      <c r="AE263" s="78">
        <v>100</v>
      </c>
      <c r="AF263" s="78">
        <v>0</v>
      </c>
      <c r="AG263" s="78">
        <v>0</v>
      </c>
      <c r="AH263" s="78">
        <v>0</v>
      </c>
      <c r="AI263" s="78">
        <v>0</v>
      </c>
      <c r="AJ263" s="78">
        <v>0</v>
      </c>
      <c r="AK263" s="78">
        <v>0</v>
      </c>
      <c r="AL263" s="78">
        <v>0</v>
      </c>
      <c r="AM263" s="78">
        <v>0</v>
      </c>
    </row>
    <row r="264" spans="2:39" x14ac:dyDescent="0.35">
      <c r="B264" t="str">
        <f t="shared" si="200"/>
        <v>Arizona-5</v>
      </c>
      <c r="C264" t="str">
        <f t="shared" si="201"/>
        <v>Dec 2025-Arizona-5</v>
      </c>
      <c r="D264">
        <f t="shared" si="202"/>
        <v>5</v>
      </c>
      <c r="E264">
        <f t="shared" si="203"/>
        <v>4.03</v>
      </c>
      <c r="F264">
        <f t="shared" si="204"/>
        <v>3</v>
      </c>
      <c r="G264">
        <f t="shared" si="205"/>
        <v>4</v>
      </c>
      <c r="H264" t="str">
        <f>IF(V264="","",IFERROR(VLOOKUP(TRIM($V264),KEY!$B$2:$F$72,3,FALSE),""))</f>
        <v>Arizona</v>
      </c>
      <c r="I264" t="str">
        <f t="shared" si="206"/>
        <v>WEST-23</v>
      </c>
      <c r="J264" t="str">
        <f t="shared" si="207"/>
        <v>Mar 2026-WEST-23</v>
      </c>
      <c r="K264">
        <f t="shared" si="208"/>
        <v>23</v>
      </c>
      <c r="L264">
        <f t="shared" si="209"/>
        <v>20.059999999999999</v>
      </c>
      <c r="M264">
        <f>IF(V264="","",IFERROR(VLOOKUP(TRIM($V264),KEY!$B$2:$F$72,5,FALSE),""))</f>
        <v>6</v>
      </c>
      <c r="N264">
        <f t="shared" si="210"/>
        <v>20</v>
      </c>
      <c r="O264" t="str">
        <f t="shared" si="211"/>
        <v>Audi-4</v>
      </c>
      <c r="P264">
        <f t="shared" si="212"/>
        <v>4</v>
      </c>
      <c r="Q264">
        <f t="shared" si="213"/>
        <v>4.04</v>
      </c>
      <c r="R264">
        <f t="shared" si="214"/>
        <v>4</v>
      </c>
      <c r="S264">
        <f t="shared" si="215"/>
        <v>4</v>
      </c>
      <c r="T264" t="str">
        <f>IF(V264="","",IFERROR(VLOOKUP(TRIM($V264),KEY!$B$2:$F$72,2,FALSE),""))</f>
        <v>Audi</v>
      </c>
      <c r="V264" s="78" t="s">
        <v>157</v>
      </c>
      <c r="W264" s="78">
        <v>27</v>
      </c>
      <c r="X264" s="78">
        <v>0</v>
      </c>
      <c r="Y264" s="78">
        <v>0</v>
      </c>
      <c r="Z264" s="78">
        <v>0</v>
      </c>
      <c r="AA264" s="78">
        <v>0</v>
      </c>
      <c r="AB264" s="78">
        <v>0</v>
      </c>
      <c r="AC264" s="78">
        <v>0</v>
      </c>
      <c r="AD264" s="78">
        <v>0</v>
      </c>
      <c r="AE264" s="78">
        <v>0</v>
      </c>
      <c r="AF264" s="78">
        <v>0</v>
      </c>
      <c r="AG264" s="78">
        <v>0</v>
      </c>
      <c r="AH264" s="78">
        <v>27</v>
      </c>
      <c r="AI264" s="78">
        <v>100</v>
      </c>
      <c r="AJ264" s="78">
        <v>0</v>
      </c>
      <c r="AK264" s="78">
        <v>0</v>
      </c>
      <c r="AL264" s="78">
        <v>0</v>
      </c>
      <c r="AM264" s="78">
        <v>0</v>
      </c>
    </row>
    <row r="265" spans="2:39" x14ac:dyDescent="0.35">
      <c r="B265" t="str">
        <f t="shared" si="200"/>
        <v>Arizona-1</v>
      </c>
      <c r="C265" t="str">
        <f t="shared" si="201"/>
        <v>Dec 2025-Arizona-1</v>
      </c>
      <c r="D265">
        <f t="shared" si="202"/>
        <v>1</v>
      </c>
      <c r="E265">
        <f t="shared" si="203"/>
        <v>1.07</v>
      </c>
      <c r="F265">
        <f t="shared" si="204"/>
        <v>7</v>
      </c>
      <c r="G265">
        <f t="shared" si="205"/>
        <v>1</v>
      </c>
      <c r="H265" t="str">
        <f>IF(V265="","",IFERROR(VLOOKUP(TRIM($V265),KEY!$B$2:$F$72,3,FALSE),""))</f>
        <v>Arizona</v>
      </c>
      <c r="I265" t="str">
        <f t="shared" si="206"/>
        <v>WEST-1</v>
      </c>
      <c r="J265" t="str">
        <f t="shared" si="207"/>
        <v>Mar 2026-WEST-1</v>
      </c>
      <c r="K265">
        <f t="shared" si="208"/>
        <v>1</v>
      </c>
      <c r="L265">
        <f t="shared" si="209"/>
        <v>1.3599999999999999</v>
      </c>
      <c r="M265">
        <f>IF(V265="","",IFERROR(VLOOKUP(TRIM($V265),KEY!$B$2:$F$72,5,FALSE),""))</f>
        <v>36</v>
      </c>
      <c r="N265">
        <f t="shared" si="210"/>
        <v>1</v>
      </c>
      <c r="O265" t="str">
        <f t="shared" si="211"/>
        <v>Mercedes-Benz-1</v>
      </c>
      <c r="P265">
        <f t="shared" si="212"/>
        <v>1</v>
      </c>
      <c r="Q265">
        <f t="shared" si="213"/>
        <v>1.01</v>
      </c>
      <c r="R265">
        <f t="shared" si="214"/>
        <v>1</v>
      </c>
      <c r="S265">
        <f t="shared" si="215"/>
        <v>1</v>
      </c>
      <c r="T265" t="str">
        <f>IF(V265="","",IFERROR(VLOOKUP(TRIM($V265),KEY!$B$2:$F$72,2,FALSE),""))</f>
        <v>Mercedes-Benz</v>
      </c>
      <c r="V265" s="78" t="s">
        <v>152</v>
      </c>
      <c r="W265" s="78">
        <v>2</v>
      </c>
      <c r="X265" s="78">
        <v>1</v>
      </c>
      <c r="Y265" s="78">
        <v>50</v>
      </c>
      <c r="Z265" s="78">
        <v>0</v>
      </c>
      <c r="AA265" s="78">
        <v>1</v>
      </c>
      <c r="AB265" s="78">
        <v>0</v>
      </c>
      <c r="AC265" s="78">
        <v>0</v>
      </c>
      <c r="AD265" s="78">
        <v>1</v>
      </c>
      <c r="AE265" s="78">
        <v>50</v>
      </c>
      <c r="AF265" s="78">
        <v>0</v>
      </c>
      <c r="AG265" s="78">
        <v>0</v>
      </c>
      <c r="AH265" s="78">
        <v>0</v>
      </c>
      <c r="AI265" s="78">
        <v>0</v>
      </c>
      <c r="AJ265" s="78">
        <v>1</v>
      </c>
      <c r="AK265" s="78">
        <v>0</v>
      </c>
      <c r="AL265" s="78">
        <v>0</v>
      </c>
      <c r="AM265" s="78">
        <v>50</v>
      </c>
    </row>
    <row r="266" spans="2:39" x14ac:dyDescent="0.35">
      <c r="B266" t="str">
        <f t="shared" si="200"/>
        <v>Arizona-4</v>
      </c>
      <c r="C266" t="str">
        <f t="shared" si="201"/>
        <v>Dec 2025-Arizona-4</v>
      </c>
      <c r="D266">
        <f t="shared" si="202"/>
        <v>4</v>
      </c>
      <c r="E266">
        <f t="shared" si="203"/>
        <v>4.0199999999999996</v>
      </c>
      <c r="F266">
        <f t="shared" si="204"/>
        <v>2</v>
      </c>
      <c r="G266">
        <f t="shared" si="205"/>
        <v>4</v>
      </c>
      <c r="H266" t="str">
        <f>IF(V266="","",IFERROR(VLOOKUP(TRIM($V266),KEY!$B$2:$F$72,3,FALSE),""))</f>
        <v>Arizona</v>
      </c>
      <c r="I266" t="str">
        <f t="shared" si="206"/>
        <v>WEST-21</v>
      </c>
      <c r="J266" t="str">
        <f t="shared" si="207"/>
        <v>Mar 2026-WEST-21</v>
      </c>
      <c r="K266">
        <f t="shared" si="208"/>
        <v>21</v>
      </c>
      <c r="L266">
        <f t="shared" si="209"/>
        <v>20.03</v>
      </c>
      <c r="M266">
        <f>IF(V266="","",IFERROR(VLOOKUP(TRIM($V266),KEY!$B$2:$F$72,5,FALSE),""))</f>
        <v>3</v>
      </c>
      <c r="N266">
        <f t="shared" si="210"/>
        <v>20</v>
      </c>
      <c r="O266" t="str">
        <f t="shared" si="211"/>
        <v>Audi-4</v>
      </c>
      <c r="P266">
        <f t="shared" si="212"/>
        <v>4</v>
      </c>
      <c r="Q266">
        <f t="shared" si="213"/>
        <v>4.01</v>
      </c>
      <c r="R266">
        <f t="shared" si="214"/>
        <v>1</v>
      </c>
      <c r="S266">
        <f t="shared" si="215"/>
        <v>4</v>
      </c>
      <c r="T266" t="str">
        <f>IF(V266="","",IFERROR(VLOOKUP(TRIM($V266),KEY!$B$2:$F$72,2,FALSE),""))</f>
        <v>Audi</v>
      </c>
      <c r="V266" s="78" t="s">
        <v>158</v>
      </c>
      <c r="W266" s="78">
        <v>15</v>
      </c>
      <c r="X266" s="78">
        <v>0</v>
      </c>
      <c r="Y266" s="78">
        <v>0</v>
      </c>
      <c r="Z266" s="78">
        <v>0</v>
      </c>
      <c r="AA266" s="78">
        <v>0</v>
      </c>
      <c r="AB266" s="78">
        <v>0</v>
      </c>
      <c r="AC266" s="78">
        <v>0</v>
      </c>
      <c r="AD266" s="78">
        <v>0</v>
      </c>
      <c r="AE266" s="78">
        <v>0</v>
      </c>
      <c r="AF266" s="78">
        <v>0</v>
      </c>
      <c r="AG266" s="78">
        <v>0</v>
      </c>
      <c r="AH266" s="78">
        <v>15</v>
      </c>
      <c r="AI266" s="78">
        <v>100</v>
      </c>
      <c r="AJ266" s="78">
        <v>0</v>
      </c>
      <c r="AK266" s="78">
        <v>0</v>
      </c>
      <c r="AL266" s="78">
        <v>0</v>
      </c>
      <c r="AM266" s="78">
        <v>0</v>
      </c>
    </row>
    <row r="267" spans="2:39" x14ac:dyDescent="0.35">
      <c r="B267" t="str">
        <f t="shared" si="200"/>
        <v>Arizona-9</v>
      </c>
      <c r="C267" t="str">
        <f t="shared" si="201"/>
        <v>Dec 2025-Arizona-9</v>
      </c>
      <c r="D267">
        <f t="shared" si="202"/>
        <v>9</v>
      </c>
      <c r="E267">
        <f t="shared" si="203"/>
        <v>4.09</v>
      </c>
      <c r="F267">
        <f t="shared" si="204"/>
        <v>9</v>
      </c>
      <c r="G267">
        <f t="shared" si="205"/>
        <v>4</v>
      </c>
      <c r="H267" t="str">
        <f>IF(V267="","",IFERROR(VLOOKUP(TRIM($V267),KEY!$B$2:$F$72,3,FALSE),""))</f>
        <v>Arizona</v>
      </c>
      <c r="I267" t="str">
        <f t="shared" si="206"/>
        <v>WEST-38</v>
      </c>
      <c r="J267" t="str">
        <f t="shared" si="207"/>
        <v>Mar 2026-WEST-38</v>
      </c>
      <c r="K267">
        <f t="shared" si="208"/>
        <v>38</v>
      </c>
      <c r="L267">
        <f t="shared" si="209"/>
        <v>20.39</v>
      </c>
      <c r="M267">
        <f>IF(V267="","",IFERROR(VLOOKUP(TRIM($V267),KEY!$B$2:$F$72,5,FALSE),""))</f>
        <v>39</v>
      </c>
      <c r="N267">
        <f t="shared" si="210"/>
        <v>20</v>
      </c>
      <c r="O267" t="str">
        <f t="shared" si="211"/>
        <v>MINI-1</v>
      </c>
      <c r="P267">
        <f t="shared" si="212"/>
        <v>1</v>
      </c>
      <c r="Q267">
        <f t="shared" si="213"/>
        <v>1.02</v>
      </c>
      <c r="R267">
        <f t="shared" si="214"/>
        <v>2</v>
      </c>
      <c r="S267">
        <f t="shared" si="215"/>
        <v>1</v>
      </c>
      <c r="T267" t="str">
        <f>IF(V267="","",IFERROR(VLOOKUP(TRIM($V267),KEY!$B$2:$F$72,2,FALSE),""))</f>
        <v>MINI</v>
      </c>
      <c r="V267" s="78" t="s">
        <v>160</v>
      </c>
      <c r="W267" s="78">
        <v>3</v>
      </c>
      <c r="X267" s="78">
        <v>0</v>
      </c>
      <c r="Y267" s="78">
        <v>0</v>
      </c>
      <c r="Z267" s="78">
        <v>0</v>
      </c>
      <c r="AA267" s="78">
        <v>0</v>
      </c>
      <c r="AB267" s="78">
        <v>0</v>
      </c>
      <c r="AC267" s="78">
        <v>0</v>
      </c>
      <c r="AD267" s="78">
        <v>0</v>
      </c>
      <c r="AE267" s="78">
        <v>0</v>
      </c>
      <c r="AF267" s="78">
        <v>1</v>
      </c>
      <c r="AG267" s="78">
        <v>0</v>
      </c>
      <c r="AH267" s="78">
        <v>2</v>
      </c>
      <c r="AI267" s="78">
        <v>100</v>
      </c>
      <c r="AJ267" s="78">
        <v>0</v>
      </c>
      <c r="AK267" s="78">
        <v>0</v>
      </c>
      <c r="AL267" s="78">
        <v>0</v>
      </c>
      <c r="AM267" s="78">
        <v>0</v>
      </c>
    </row>
    <row r="268" spans="2:39" x14ac:dyDescent="0.35">
      <c r="B268" t="str">
        <f t="shared" si="200"/>
        <v>Arizona-10</v>
      </c>
      <c r="C268" t="str">
        <f t="shared" si="201"/>
        <v>Dec 2025-Arizona-10</v>
      </c>
      <c r="D268">
        <f t="shared" si="202"/>
        <v>10</v>
      </c>
      <c r="E268">
        <f t="shared" si="203"/>
        <v>4.0999999999999996</v>
      </c>
      <c r="F268">
        <f t="shared" si="204"/>
        <v>10</v>
      </c>
      <c r="G268">
        <f t="shared" si="205"/>
        <v>4</v>
      </c>
      <c r="H268" t="str">
        <f>IF(V268="","",IFERROR(VLOOKUP(TRIM($V268),KEY!$B$2:$F$72,3,FALSE),""))</f>
        <v>Arizona</v>
      </c>
      <c r="I268" t="str">
        <f t="shared" si="206"/>
        <v>WEST-42</v>
      </c>
      <c r="J268" t="str">
        <f t="shared" si="207"/>
        <v>Mar 2026-WEST-42</v>
      </c>
      <c r="K268">
        <f t="shared" si="208"/>
        <v>42</v>
      </c>
      <c r="L268">
        <f t="shared" si="209"/>
        <v>20.440000000000001</v>
      </c>
      <c r="M268">
        <f>IF(V268="","",IFERROR(VLOOKUP(TRIM($V268),KEY!$B$2:$F$72,5,FALSE),""))</f>
        <v>44</v>
      </c>
      <c r="N268">
        <f t="shared" si="210"/>
        <v>20</v>
      </c>
      <c r="O268" t="str">
        <f t="shared" si="211"/>
        <v>MINI-2</v>
      </c>
      <c r="P268">
        <f t="shared" si="212"/>
        <v>2</v>
      </c>
      <c r="Q268">
        <f t="shared" si="213"/>
        <v>1.06</v>
      </c>
      <c r="R268">
        <f t="shared" si="214"/>
        <v>6</v>
      </c>
      <c r="S268">
        <f t="shared" si="215"/>
        <v>1</v>
      </c>
      <c r="T268" t="str">
        <f>IF(V268="","",IFERROR(VLOOKUP(TRIM($V268),KEY!$B$2:$F$72,2,FALSE),""))</f>
        <v>MINI</v>
      </c>
      <c r="V268" s="78" t="s">
        <v>159</v>
      </c>
      <c r="W268" s="78">
        <v>1</v>
      </c>
      <c r="X268" s="78">
        <v>0</v>
      </c>
      <c r="Y268" s="78">
        <v>0</v>
      </c>
      <c r="Z268" s="78">
        <v>0</v>
      </c>
      <c r="AA268" s="78">
        <v>0</v>
      </c>
      <c r="AB268" s="78">
        <v>0</v>
      </c>
      <c r="AC268" s="78">
        <v>0</v>
      </c>
      <c r="AD268" s="78">
        <v>0</v>
      </c>
      <c r="AE268" s="78">
        <v>0</v>
      </c>
      <c r="AF268" s="78">
        <v>1</v>
      </c>
      <c r="AG268" s="78">
        <v>0</v>
      </c>
      <c r="AH268" s="78">
        <v>0</v>
      </c>
      <c r="AI268" s="78">
        <v>100</v>
      </c>
      <c r="AJ268" s="78">
        <v>0</v>
      </c>
      <c r="AK268" s="78">
        <v>0</v>
      </c>
      <c r="AL268" s="78">
        <v>0</v>
      </c>
      <c r="AM268" s="78">
        <v>0</v>
      </c>
    </row>
    <row r="269" spans="2:39" x14ac:dyDescent="0.35">
      <c r="B269" t="str">
        <f t="shared" si="200"/>
        <v>Arizona-11</v>
      </c>
      <c r="C269" t="str">
        <f t="shared" si="201"/>
        <v>Dec 2025-Arizona-11</v>
      </c>
      <c r="D269">
        <f t="shared" si="202"/>
        <v>11</v>
      </c>
      <c r="E269">
        <f t="shared" si="203"/>
        <v>4.1100000000000003</v>
      </c>
      <c r="F269">
        <f t="shared" si="204"/>
        <v>11</v>
      </c>
      <c r="G269">
        <f t="shared" si="205"/>
        <v>4</v>
      </c>
      <c r="H269" t="str">
        <f>IF(V269="","",IFERROR(VLOOKUP(TRIM($V269),KEY!$B$2:$F$72,3,FALSE),""))</f>
        <v>Arizona</v>
      </c>
      <c r="I269" t="str">
        <f t="shared" si="206"/>
        <v>WEST-46</v>
      </c>
      <c r="J269" t="str">
        <f t="shared" si="207"/>
        <v>Mar 2026-WEST-46</v>
      </c>
      <c r="K269">
        <f t="shared" si="208"/>
        <v>46</v>
      </c>
      <c r="L269">
        <f t="shared" si="209"/>
        <v>20.5</v>
      </c>
      <c r="M269">
        <f>IF(V269="","",IFERROR(VLOOKUP(TRIM($V269),KEY!$B$2:$F$72,5,FALSE),""))</f>
        <v>50</v>
      </c>
      <c r="N269">
        <f t="shared" si="210"/>
        <v>20</v>
      </c>
      <c r="O269" t="str">
        <f t="shared" si="211"/>
        <v>Porsche-1</v>
      </c>
      <c r="P269">
        <f t="shared" si="212"/>
        <v>1</v>
      </c>
      <c r="Q269">
        <f t="shared" si="213"/>
        <v>1.01</v>
      </c>
      <c r="R269">
        <f t="shared" si="214"/>
        <v>1</v>
      </c>
      <c r="S269">
        <f t="shared" si="215"/>
        <v>1</v>
      </c>
      <c r="T269" t="str">
        <f>IF(V269="","",IFERROR(VLOOKUP(TRIM($V269),KEY!$B$2:$F$72,2,FALSE),""))</f>
        <v>Porsche</v>
      </c>
      <c r="V269" s="78" t="s">
        <v>161</v>
      </c>
      <c r="W269" s="78">
        <v>8</v>
      </c>
      <c r="X269" s="78">
        <v>0</v>
      </c>
      <c r="Y269" s="78">
        <v>0</v>
      </c>
      <c r="Z269" s="78">
        <v>1</v>
      </c>
      <c r="AA269" s="78">
        <v>0</v>
      </c>
      <c r="AB269" s="78">
        <v>0</v>
      </c>
      <c r="AC269" s="78">
        <v>0</v>
      </c>
      <c r="AD269" s="78">
        <v>1</v>
      </c>
      <c r="AE269" s="78">
        <v>13</v>
      </c>
      <c r="AF269" s="78">
        <v>1</v>
      </c>
      <c r="AG269" s="78">
        <v>0</v>
      </c>
      <c r="AH269" s="78">
        <v>6</v>
      </c>
      <c r="AI269" s="78">
        <v>88</v>
      </c>
      <c r="AJ269" s="78">
        <v>0</v>
      </c>
      <c r="AK269" s="78">
        <v>0</v>
      </c>
      <c r="AL269" s="78">
        <v>0</v>
      </c>
      <c r="AM269" s="78">
        <v>0</v>
      </c>
    </row>
    <row r="270" spans="2:39" x14ac:dyDescent="0.35">
      <c r="B270" t="str">
        <f t="shared" si="200"/>
        <v>Indiana-1</v>
      </c>
      <c r="C270" t="str">
        <f t="shared" si="201"/>
        <v>Dec 2025-Indiana-1</v>
      </c>
      <c r="D270">
        <f t="shared" si="202"/>
        <v>1</v>
      </c>
      <c r="E270">
        <f t="shared" si="203"/>
        <v>1.02</v>
      </c>
      <c r="F270">
        <f t="shared" si="204"/>
        <v>2</v>
      </c>
      <c r="G270">
        <f t="shared" si="205"/>
        <v>1</v>
      </c>
      <c r="H270" t="str">
        <f>IF(V270="","",IFERROR(VLOOKUP(TRIM($V270),KEY!$B$2:$F$72,3,FALSE),""))</f>
        <v>Indiana</v>
      </c>
      <c r="I270" t="str">
        <f t="shared" si="206"/>
        <v>WEST-4</v>
      </c>
      <c r="J270" t="str">
        <f t="shared" si="207"/>
        <v>Mar 2026-WEST-4</v>
      </c>
      <c r="K270">
        <f t="shared" si="208"/>
        <v>4</v>
      </c>
      <c r="L270">
        <f t="shared" si="209"/>
        <v>4.4800000000000004</v>
      </c>
      <c r="M270">
        <f>IF(V270="","",IFERROR(VLOOKUP(TRIM($V270),KEY!$B$2:$F$72,5,FALSE),""))</f>
        <v>48</v>
      </c>
      <c r="N270">
        <f t="shared" si="210"/>
        <v>4</v>
      </c>
      <c r="O270" t="str">
        <f t="shared" si="211"/>
        <v>Honda-2</v>
      </c>
      <c r="P270">
        <f t="shared" si="212"/>
        <v>2</v>
      </c>
      <c r="Q270">
        <f t="shared" si="213"/>
        <v>1.05</v>
      </c>
      <c r="R270">
        <f t="shared" si="214"/>
        <v>5</v>
      </c>
      <c r="S270">
        <f t="shared" si="215"/>
        <v>1</v>
      </c>
      <c r="T270" t="str">
        <f>IF(V270="","",IFERROR(VLOOKUP(TRIM($V270),KEY!$B$2:$F$72,2,FALSE),""))</f>
        <v>Honda</v>
      </c>
      <c r="V270" s="78" t="s">
        <v>162</v>
      </c>
      <c r="W270" s="78">
        <v>90</v>
      </c>
      <c r="X270" s="78">
        <v>21</v>
      </c>
      <c r="Y270" s="78">
        <v>23</v>
      </c>
      <c r="Z270" s="78">
        <v>0</v>
      </c>
      <c r="AA270" s="78">
        <v>21</v>
      </c>
      <c r="AB270" s="78">
        <v>0</v>
      </c>
      <c r="AC270" s="78">
        <v>3</v>
      </c>
      <c r="AD270" s="78">
        <v>24</v>
      </c>
      <c r="AE270" s="78">
        <v>27</v>
      </c>
      <c r="AF270" s="78">
        <v>52</v>
      </c>
      <c r="AG270" s="78">
        <v>0</v>
      </c>
      <c r="AH270" s="78">
        <v>0</v>
      </c>
      <c r="AI270" s="78">
        <v>58</v>
      </c>
      <c r="AJ270" s="78">
        <v>0</v>
      </c>
      <c r="AK270" s="78">
        <v>14</v>
      </c>
      <c r="AL270" s="78">
        <v>0</v>
      </c>
      <c r="AM270" s="78">
        <v>16</v>
      </c>
    </row>
    <row r="271" spans="2:39" x14ac:dyDescent="0.35">
      <c r="B271" t="str">
        <f t="shared" si="200"/>
        <v>Indiana-2</v>
      </c>
      <c r="C271" t="str">
        <f t="shared" si="201"/>
        <v>Dec 2025-Indiana-2</v>
      </c>
      <c r="D271">
        <f t="shared" si="202"/>
        <v>2</v>
      </c>
      <c r="E271">
        <f t="shared" si="203"/>
        <v>2.0099999999999998</v>
      </c>
      <c r="F271">
        <f t="shared" si="204"/>
        <v>1</v>
      </c>
      <c r="G271">
        <f t="shared" si="205"/>
        <v>2</v>
      </c>
      <c r="H271" t="str">
        <f>IF(V271="","",IFERROR(VLOOKUP(TRIM($V271),KEY!$B$2:$F$72,3,FALSE),""))</f>
        <v>Indiana</v>
      </c>
      <c r="I271" t="str">
        <f t="shared" si="206"/>
        <v>WEST-44</v>
      </c>
      <c r="J271" t="str">
        <f t="shared" si="207"/>
        <v>Mar 2026-WEST-44</v>
      </c>
      <c r="K271">
        <f t="shared" si="208"/>
        <v>44</v>
      </c>
      <c r="L271">
        <f t="shared" si="209"/>
        <v>20.47</v>
      </c>
      <c r="M271">
        <f>IF(V271="","",IFERROR(VLOOKUP(TRIM($V271),KEY!$B$2:$F$72,5,FALSE),""))</f>
        <v>47</v>
      </c>
      <c r="N271">
        <f t="shared" si="210"/>
        <v>20</v>
      </c>
      <c r="O271" t="str">
        <f t="shared" si="211"/>
        <v>Chevrolet-1</v>
      </c>
      <c r="P271">
        <f t="shared" si="212"/>
        <v>1</v>
      </c>
      <c r="Q271">
        <f t="shared" si="213"/>
        <v>1.01</v>
      </c>
      <c r="R271">
        <f t="shared" si="214"/>
        <v>1</v>
      </c>
      <c r="S271">
        <f t="shared" si="215"/>
        <v>1</v>
      </c>
      <c r="T271" t="str">
        <f>IF(V271="","",IFERROR(VLOOKUP(TRIM($V271),KEY!$B$2:$F$72,2,FALSE),""))</f>
        <v>Chevrolet</v>
      </c>
      <c r="V271" s="78" t="s">
        <v>163</v>
      </c>
      <c r="W271" s="78">
        <v>13</v>
      </c>
      <c r="X271" s="78">
        <v>0</v>
      </c>
      <c r="Y271" s="78">
        <v>0</v>
      </c>
      <c r="Z271" s="78">
        <v>0</v>
      </c>
      <c r="AA271" s="78">
        <v>0</v>
      </c>
      <c r="AB271" s="78">
        <v>0</v>
      </c>
      <c r="AC271" s="78">
        <v>0</v>
      </c>
      <c r="AD271" s="78">
        <v>0</v>
      </c>
      <c r="AE271" s="78">
        <v>0</v>
      </c>
      <c r="AF271" s="78">
        <v>0</v>
      </c>
      <c r="AG271" s="78">
        <v>0</v>
      </c>
      <c r="AH271" s="78">
        <v>13</v>
      </c>
      <c r="AI271" s="78">
        <v>100</v>
      </c>
      <c r="AJ271" s="78">
        <v>0</v>
      </c>
      <c r="AK271" s="78">
        <v>0</v>
      </c>
      <c r="AL271" s="78">
        <v>0</v>
      </c>
      <c r="AM271" s="78">
        <v>0</v>
      </c>
    </row>
    <row r="272" spans="2:39" x14ac:dyDescent="0.35">
      <c r="B272" t="str">
        <f t="shared" si="200"/>
        <v>Northern California-4</v>
      </c>
      <c r="C272" t="str">
        <f t="shared" si="201"/>
        <v>Dec 2025-Northern California-4</v>
      </c>
      <c r="D272">
        <f t="shared" si="202"/>
        <v>4</v>
      </c>
      <c r="E272">
        <f t="shared" si="203"/>
        <v>4.0199999999999996</v>
      </c>
      <c r="F272">
        <f t="shared" si="204"/>
        <v>2</v>
      </c>
      <c r="G272">
        <f t="shared" si="205"/>
        <v>4</v>
      </c>
      <c r="H272" t="str">
        <f>IF(V272="","",IFERROR(VLOOKUP(TRIM($V272),KEY!$B$2:$F$72,3,FALSE),""))</f>
        <v>Northern California</v>
      </c>
      <c r="I272" t="str">
        <f t="shared" si="206"/>
        <v>WEST-27</v>
      </c>
      <c r="J272" t="str">
        <f t="shared" si="207"/>
        <v>Mar 2026-WEST-27</v>
      </c>
      <c r="K272">
        <f t="shared" si="208"/>
        <v>27</v>
      </c>
      <c r="L272">
        <f t="shared" si="209"/>
        <v>20.170000000000002</v>
      </c>
      <c r="M272">
        <f>IF(V272="","",IFERROR(VLOOKUP(TRIM($V272),KEY!$B$2:$F$72,5,FALSE),""))</f>
        <v>17</v>
      </c>
      <c r="N272">
        <f t="shared" si="210"/>
        <v>20</v>
      </c>
      <c r="O272" t="str">
        <f t="shared" si="211"/>
        <v>Acura-2</v>
      </c>
      <c r="P272">
        <f t="shared" si="212"/>
        <v>2</v>
      </c>
      <c r="Q272">
        <f t="shared" si="213"/>
        <v>2.0299999999999998</v>
      </c>
      <c r="R272">
        <f t="shared" si="214"/>
        <v>3</v>
      </c>
      <c r="S272">
        <f t="shared" si="215"/>
        <v>2</v>
      </c>
      <c r="T272" t="str">
        <f>IF(V272="","",IFERROR(VLOOKUP(TRIM($V272),KEY!$B$2:$F$72,2,FALSE),""))</f>
        <v>Acura</v>
      </c>
      <c r="V272" s="78" t="s">
        <v>164</v>
      </c>
      <c r="W272" s="78">
        <v>14</v>
      </c>
      <c r="X272" s="78">
        <v>0</v>
      </c>
      <c r="Y272" s="78">
        <v>0</v>
      </c>
      <c r="Z272" s="78">
        <v>0</v>
      </c>
      <c r="AA272" s="78">
        <v>0</v>
      </c>
      <c r="AB272" s="78">
        <v>0</v>
      </c>
      <c r="AC272" s="78">
        <v>0</v>
      </c>
      <c r="AD272" s="78">
        <v>0</v>
      </c>
      <c r="AE272" s="78">
        <v>0</v>
      </c>
      <c r="AF272" s="78">
        <v>0</v>
      </c>
      <c r="AG272" s="78">
        <v>0</v>
      </c>
      <c r="AH272" s="78">
        <v>14</v>
      </c>
      <c r="AI272" s="78">
        <v>100</v>
      </c>
      <c r="AJ272" s="78">
        <v>0</v>
      </c>
      <c r="AK272" s="78">
        <v>0</v>
      </c>
      <c r="AL272" s="78">
        <v>0</v>
      </c>
      <c r="AM272" s="78">
        <v>0</v>
      </c>
    </row>
    <row r="273" spans="2:39" x14ac:dyDescent="0.35">
      <c r="B273" t="str">
        <f t="shared" si="200"/>
        <v>Northern California-2</v>
      </c>
      <c r="C273" t="str">
        <f t="shared" si="201"/>
        <v>Dec 2025-Northern California-2</v>
      </c>
      <c r="D273">
        <f t="shared" si="202"/>
        <v>2</v>
      </c>
      <c r="E273">
        <f t="shared" si="203"/>
        <v>2.04</v>
      </c>
      <c r="F273">
        <f t="shared" si="204"/>
        <v>4</v>
      </c>
      <c r="G273">
        <f t="shared" si="205"/>
        <v>2</v>
      </c>
      <c r="H273" t="str">
        <f>IF(V273="","",IFERROR(VLOOKUP(TRIM($V273),KEY!$B$2:$F$72,3,FALSE),""))</f>
        <v>Northern California</v>
      </c>
      <c r="I273" t="str">
        <f t="shared" si="206"/>
        <v>WEST-15</v>
      </c>
      <c r="J273" t="str">
        <f t="shared" si="207"/>
        <v>Mar 2026-WEST-15</v>
      </c>
      <c r="K273">
        <f t="shared" si="208"/>
        <v>15</v>
      </c>
      <c r="L273">
        <f t="shared" si="209"/>
        <v>14.24</v>
      </c>
      <c r="M273">
        <f>IF(V273="","",IFERROR(VLOOKUP(TRIM($V273),KEY!$B$2:$F$72,5,FALSE),""))</f>
        <v>24</v>
      </c>
      <c r="N273">
        <f t="shared" si="210"/>
        <v>14</v>
      </c>
      <c r="O273" t="str">
        <f t="shared" si="211"/>
        <v>Honda-2</v>
      </c>
      <c r="P273">
        <f t="shared" si="212"/>
        <v>2</v>
      </c>
      <c r="Q273">
        <f t="shared" si="213"/>
        <v>2.0299999999999998</v>
      </c>
      <c r="R273">
        <f t="shared" si="214"/>
        <v>3</v>
      </c>
      <c r="S273">
        <f t="shared" si="215"/>
        <v>2</v>
      </c>
      <c r="T273" t="str">
        <f>IF(V273="","",IFERROR(VLOOKUP(TRIM($V273),KEY!$B$2:$F$72,2,FALSE),""))</f>
        <v>Honda</v>
      </c>
      <c r="V273" s="78" t="s">
        <v>166</v>
      </c>
      <c r="W273" s="78">
        <v>36</v>
      </c>
      <c r="X273" s="78">
        <v>2</v>
      </c>
      <c r="Y273" s="78">
        <v>6</v>
      </c>
      <c r="Z273" s="78">
        <v>0</v>
      </c>
      <c r="AA273" s="78">
        <v>2</v>
      </c>
      <c r="AB273" s="78">
        <v>0</v>
      </c>
      <c r="AC273" s="78">
        <v>1</v>
      </c>
      <c r="AD273" s="78">
        <v>3</v>
      </c>
      <c r="AE273" s="78">
        <v>8</v>
      </c>
      <c r="AF273" s="78">
        <v>5</v>
      </c>
      <c r="AG273" s="78">
        <v>0</v>
      </c>
      <c r="AH273" s="78">
        <v>27</v>
      </c>
      <c r="AI273" s="78">
        <v>89</v>
      </c>
      <c r="AJ273" s="78">
        <v>0</v>
      </c>
      <c r="AK273" s="78">
        <v>1</v>
      </c>
      <c r="AL273" s="78">
        <v>0</v>
      </c>
      <c r="AM273" s="78">
        <v>3</v>
      </c>
    </row>
    <row r="274" spans="2:39" x14ac:dyDescent="0.35">
      <c r="B274" t="str">
        <f t="shared" si="200"/>
        <v>Northern California-5</v>
      </c>
      <c r="C274" t="str">
        <f t="shared" si="201"/>
        <v>Dec 2025-Northern California-5</v>
      </c>
      <c r="D274">
        <f t="shared" si="202"/>
        <v>5</v>
      </c>
      <c r="E274">
        <f t="shared" si="203"/>
        <v>4.03</v>
      </c>
      <c r="F274">
        <f t="shared" si="204"/>
        <v>3</v>
      </c>
      <c r="G274">
        <f t="shared" si="205"/>
        <v>4</v>
      </c>
      <c r="H274" t="str">
        <f>IF(V274="","",IFERROR(VLOOKUP(TRIM($V274),KEY!$B$2:$F$72,3,FALSE),""))</f>
        <v>Northern California</v>
      </c>
      <c r="I274" t="str">
        <f t="shared" si="206"/>
        <v>WEST-28</v>
      </c>
      <c r="J274" t="str">
        <f t="shared" si="207"/>
        <v>Mar 2026-WEST-28</v>
      </c>
      <c r="K274">
        <f t="shared" si="208"/>
        <v>28</v>
      </c>
      <c r="L274">
        <f t="shared" si="209"/>
        <v>20.18</v>
      </c>
      <c r="M274">
        <f>IF(V274="","",IFERROR(VLOOKUP(TRIM($V274),KEY!$B$2:$F$72,5,FALSE),""))</f>
        <v>18</v>
      </c>
      <c r="N274">
        <f t="shared" si="210"/>
        <v>20</v>
      </c>
      <c r="O274" t="str">
        <f t="shared" si="211"/>
        <v>Honda-2</v>
      </c>
      <c r="P274">
        <f t="shared" si="212"/>
        <v>2</v>
      </c>
      <c r="Q274">
        <f t="shared" si="213"/>
        <v>2.0099999999999998</v>
      </c>
      <c r="R274">
        <f t="shared" si="214"/>
        <v>1</v>
      </c>
      <c r="S274">
        <f t="shared" si="215"/>
        <v>2</v>
      </c>
      <c r="T274" t="str">
        <f>IF(V274="","",IFERROR(VLOOKUP(TRIM($V274),KEY!$B$2:$F$72,2,FALSE),""))</f>
        <v>Honda</v>
      </c>
      <c r="V274" s="78" t="s">
        <v>165</v>
      </c>
      <c r="W274" s="78">
        <v>25</v>
      </c>
      <c r="X274" s="78">
        <v>0</v>
      </c>
      <c r="Y274" s="78">
        <v>0</v>
      </c>
      <c r="Z274" s="78">
        <v>0</v>
      </c>
      <c r="AA274" s="78">
        <v>0</v>
      </c>
      <c r="AB274" s="78">
        <v>0</v>
      </c>
      <c r="AC274" s="78">
        <v>0</v>
      </c>
      <c r="AD274" s="78">
        <v>0</v>
      </c>
      <c r="AE274" s="78">
        <v>0</v>
      </c>
      <c r="AF274" s="78">
        <v>0</v>
      </c>
      <c r="AG274" s="78">
        <v>0</v>
      </c>
      <c r="AH274" s="78">
        <v>25</v>
      </c>
      <c r="AI274" s="78">
        <v>100</v>
      </c>
      <c r="AJ274" s="78">
        <v>0</v>
      </c>
      <c r="AK274" s="78">
        <v>0</v>
      </c>
      <c r="AL274" s="78">
        <v>0</v>
      </c>
      <c r="AM274" s="78">
        <v>0</v>
      </c>
    </row>
    <row r="275" spans="2:39" x14ac:dyDescent="0.35">
      <c r="B275" t="str">
        <f t="shared" si="200"/>
        <v>Northern California-1</v>
      </c>
      <c r="C275" t="str">
        <f t="shared" si="201"/>
        <v>Dec 2025-Northern California-1</v>
      </c>
      <c r="D275">
        <f t="shared" si="202"/>
        <v>1</v>
      </c>
      <c r="E275">
        <f t="shared" si="203"/>
        <v>1.08</v>
      </c>
      <c r="F275">
        <f t="shared" si="204"/>
        <v>8</v>
      </c>
      <c r="G275">
        <f t="shared" si="205"/>
        <v>1</v>
      </c>
      <c r="H275" t="str">
        <f>IF(V275="","",IFERROR(VLOOKUP(TRIM($V275),KEY!$B$2:$F$72,3,FALSE),""))</f>
        <v>Northern California</v>
      </c>
      <c r="I275" t="str">
        <f t="shared" si="206"/>
        <v>WEST-7</v>
      </c>
      <c r="J275" t="str">
        <f t="shared" si="207"/>
        <v>Mar 2026-WEST-7</v>
      </c>
      <c r="K275">
        <f t="shared" si="208"/>
        <v>7</v>
      </c>
      <c r="L275">
        <f t="shared" si="209"/>
        <v>7.58</v>
      </c>
      <c r="M275">
        <f>IF(V275="","",IFERROR(VLOOKUP(TRIM($V275),KEY!$B$2:$F$72,5,FALSE),""))</f>
        <v>58</v>
      </c>
      <c r="N275">
        <f t="shared" si="210"/>
        <v>7</v>
      </c>
      <c r="O275" t="str">
        <f t="shared" si="211"/>
        <v>Toyota-3</v>
      </c>
      <c r="P275">
        <f t="shared" si="212"/>
        <v>3</v>
      </c>
      <c r="Q275">
        <f t="shared" si="213"/>
        <v>2.04</v>
      </c>
      <c r="R275">
        <f t="shared" si="214"/>
        <v>4</v>
      </c>
      <c r="S275">
        <f t="shared" si="215"/>
        <v>2</v>
      </c>
      <c r="T275" t="str">
        <f>IF(V275="","",IFERROR(VLOOKUP(TRIM($V275),KEY!$B$2:$F$72,2,FALSE),""))</f>
        <v>Toyota</v>
      </c>
      <c r="V275" s="78" t="s">
        <v>167</v>
      </c>
      <c r="W275" s="78">
        <v>8</v>
      </c>
      <c r="X275" s="78">
        <v>1</v>
      </c>
      <c r="Y275" s="78">
        <v>13</v>
      </c>
      <c r="Z275" s="78">
        <v>0</v>
      </c>
      <c r="AA275" s="78">
        <v>1</v>
      </c>
      <c r="AB275" s="78">
        <v>0</v>
      </c>
      <c r="AC275" s="78">
        <v>0</v>
      </c>
      <c r="AD275" s="78">
        <v>1</v>
      </c>
      <c r="AE275" s="78">
        <v>13</v>
      </c>
      <c r="AF275" s="78">
        <v>7</v>
      </c>
      <c r="AG275" s="78">
        <v>0</v>
      </c>
      <c r="AH275" s="78">
        <v>0</v>
      </c>
      <c r="AI275" s="78">
        <v>88</v>
      </c>
      <c r="AJ275" s="78">
        <v>0</v>
      </c>
      <c r="AK275" s="78">
        <v>0</v>
      </c>
      <c r="AL275" s="78">
        <v>0</v>
      </c>
      <c r="AM275" s="78">
        <v>0</v>
      </c>
    </row>
    <row r="276" spans="2:39" x14ac:dyDescent="0.35">
      <c r="B276" t="str">
        <f t="shared" si="200"/>
        <v>Northern California-7</v>
      </c>
      <c r="C276" t="str">
        <f t="shared" si="201"/>
        <v>Dec 2025-Northern California-7</v>
      </c>
      <c r="D276">
        <f t="shared" si="202"/>
        <v>7</v>
      </c>
      <c r="E276">
        <f t="shared" si="203"/>
        <v>4.0599999999999996</v>
      </c>
      <c r="F276">
        <f t="shared" si="204"/>
        <v>6</v>
      </c>
      <c r="G276">
        <f t="shared" si="205"/>
        <v>4</v>
      </c>
      <c r="H276" t="str">
        <f>IF(V276="","",IFERROR(VLOOKUP(TRIM($V276),KEY!$B$2:$F$72,3,FALSE),""))</f>
        <v>Northern California</v>
      </c>
      <c r="I276" t="str">
        <f t="shared" si="206"/>
        <v>WEST-45</v>
      </c>
      <c r="J276" t="str">
        <f t="shared" si="207"/>
        <v>Mar 2026-WEST-45</v>
      </c>
      <c r="K276">
        <f t="shared" si="208"/>
        <v>45</v>
      </c>
      <c r="L276">
        <f t="shared" si="209"/>
        <v>20.49</v>
      </c>
      <c r="M276">
        <f>IF(V276="","",IFERROR(VLOOKUP(TRIM($V276),KEY!$B$2:$F$72,5,FALSE),""))</f>
        <v>49</v>
      </c>
      <c r="N276">
        <f t="shared" si="210"/>
        <v>20</v>
      </c>
      <c r="O276" t="str">
        <f t="shared" si="211"/>
        <v>BMW-5</v>
      </c>
      <c r="P276">
        <f t="shared" si="212"/>
        <v>5</v>
      </c>
      <c r="Q276">
        <f t="shared" si="213"/>
        <v>4.09</v>
      </c>
      <c r="R276">
        <f t="shared" si="214"/>
        <v>9</v>
      </c>
      <c r="S276">
        <f t="shared" si="215"/>
        <v>4</v>
      </c>
      <c r="T276" t="str">
        <f>IF(V276="","",IFERROR(VLOOKUP(TRIM($V276),KEY!$B$2:$F$72,2,FALSE),""))</f>
        <v>BMW</v>
      </c>
      <c r="V276" s="79" t="s">
        <v>168</v>
      </c>
      <c r="W276" s="78">
        <v>62</v>
      </c>
      <c r="X276" s="78">
        <v>0</v>
      </c>
      <c r="Y276" s="78">
        <v>0</v>
      </c>
      <c r="Z276" s="78">
        <v>0</v>
      </c>
      <c r="AA276" s="78">
        <v>0</v>
      </c>
      <c r="AB276" s="78">
        <v>0</v>
      </c>
      <c r="AC276" s="78">
        <v>0</v>
      </c>
      <c r="AD276" s="78">
        <v>0</v>
      </c>
      <c r="AE276" s="78">
        <v>0</v>
      </c>
      <c r="AF276" s="78">
        <v>0</v>
      </c>
      <c r="AG276" s="78">
        <v>0</v>
      </c>
      <c r="AH276" s="78">
        <v>62</v>
      </c>
      <c r="AI276" s="78">
        <v>100</v>
      </c>
      <c r="AJ276" s="78">
        <v>0</v>
      </c>
      <c r="AK276" s="78">
        <v>0</v>
      </c>
      <c r="AL276" s="78">
        <v>0</v>
      </c>
      <c r="AM276" s="78">
        <v>0</v>
      </c>
    </row>
    <row r="277" spans="2:39" x14ac:dyDescent="0.35">
      <c r="B277" t="str">
        <f t="shared" si="200"/>
        <v>Northern California-3</v>
      </c>
      <c r="C277" t="str">
        <f t="shared" si="201"/>
        <v>Dec 2025-Northern California-3</v>
      </c>
      <c r="D277">
        <f t="shared" si="202"/>
        <v>3</v>
      </c>
      <c r="E277">
        <f t="shared" si="203"/>
        <v>3.01</v>
      </c>
      <c r="F277">
        <f t="shared" si="204"/>
        <v>1</v>
      </c>
      <c r="G277">
        <f t="shared" si="205"/>
        <v>3</v>
      </c>
      <c r="H277" t="str">
        <f>IF(V277="","",IFERROR(VLOOKUP(TRIM($V277),KEY!$B$2:$F$72,3,FALSE),""))</f>
        <v>Northern California</v>
      </c>
      <c r="I277" t="str">
        <f t="shared" si="206"/>
        <v>WEST-19</v>
      </c>
      <c r="J277" t="str">
        <f t="shared" si="207"/>
        <v>Mar 2026-WEST-19</v>
      </c>
      <c r="K277">
        <f t="shared" si="208"/>
        <v>19</v>
      </c>
      <c r="L277">
        <f t="shared" si="209"/>
        <v>19.07</v>
      </c>
      <c r="M277">
        <f>IF(V277="","",IFERROR(VLOOKUP(TRIM($V277),KEY!$B$2:$F$72,5,FALSE),""))</f>
        <v>7</v>
      </c>
      <c r="N277">
        <f t="shared" si="210"/>
        <v>19</v>
      </c>
      <c r="O277" t="str">
        <f t="shared" si="211"/>
        <v>Audi-3</v>
      </c>
      <c r="P277">
        <f t="shared" si="212"/>
        <v>3</v>
      </c>
      <c r="Q277">
        <f t="shared" si="213"/>
        <v>2.0499999999999998</v>
      </c>
      <c r="R277">
        <f t="shared" si="214"/>
        <v>5</v>
      </c>
      <c r="S277">
        <f t="shared" si="215"/>
        <v>2</v>
      </c>
      <c r="T277" t="str">
        <f>IF(V277="","",IFERROR(VLOOKUP(TRIM($V277),KEY!$B$2:$F$72,2,FALSE),""))</f>
        <v>Audi</v>
      </c>
      <c r="V277" s="78" t="s">
        <v>169</v>
      </c>
      <c r="W277" s="78">
        <v>67</v>
      </c>
      <c r="X277" s="78">
        <v>3</v>
      </c>
      <c r="Y277" s="78">
        <v>4</v>
      </c>
      <c r="Z277" s="78">
        <v>0</v>
      </c>
      <c r="AA277" s="78">
        <v>3</v>
      </c>
      <c r="AB277" s="78">
        <v>0</v>
      </c>
      <c r="AC277" s="78">
        <v>2</v>
      </c>
      <c r="AD277" s="78">
        <v>5</v>
      </c>
      <c r="AE277" s="78">
        <v>7</v>
      </c>
      <c r="AF277" s="78">
        <v>62</v>
      </c>
      <c r="AG277" s="78">
        <v>0</v>
      </c>
      <c r="AH277" s="78">
        <v>0</v>
      </c>
      <c r="AI277" s="78">
        <v>93</v>
      </c>
      <c r="AJ277" s="78">
        <v>0</v>
      </c>
      <c r="AK277" s="78">
        <v>0</v>
      </c>
      <c r="AL277" s="78">
        <v>0</v>
      </c>
      <c r="AM277" s="78">
        <v>0</v>
      </c>
    </row>
    <row r="278" spans="2:39" x14ac:dyDescent="0.35">
      <c r="B278" t="str">
        <f t="shared" si="200"/>
        <v>Northern California-6</v>
      </c>
      <c r="C278" t="str">
        <f t="shared" si="201"/>
        <v>Dec 2025-Northern California-6</v>
      </c>
      <c r="D278">
        <f t="shared" si="202"/>
        <v>6</v>
      </c>
      <c r="E278">
        <f t="shared" si="203"/>
        <v>4.05</v>
      </c>
      <c r="F278">
        <f t="shared" si="204"/>
        <v>5</v>
      </c>
      <c r="G278">
        <f t="shared" si="205"/>
        <v>4</v>
      </c>
      <c r="H278" t="str">
        <f>IF(V278="","",IFERROR(VLOOKUP(TRIM($V278),KEY!$B$2:$F$72,3,FALSE),""))</f>
        <v>Northern California</v>
      </c>
      <c r="I278" t="str">
        <f t="shared" si="206"/>
        <v>WEST-40</v>
      </c>
      <c r="J278" t="str">
        <f t="shared" si="207"/>
        <v>Mar 2026-WEST-40</v>
      </c>
      <c r="K278">
        <f t="shared" si="208"/>
        <v>40</v>
      </c>
      <c r="L278">
        <f t="shared" si="209"/>
        <v>20.41</v>
      </c>
      <c r="M278">
        <f>IF(V278="","",IFERROR(VLOOKUP(TRIM($V278),KEY!$B$2:$F$72,5,FALSE),""))</f>
        <v>41</v>
      </c>
      <c r="N278">
        <f t="shared" si="210"/>
        <v>20</v>
      </c>
      <c r="O278" t="str">
        <f t="shared" si="211"/>
        <v>MINI-2</v>
      </c>
      <c r="P278">
        <f t="shared" si="212"/>
        <v>2</v>
      </c>
      <c r="Q278">
        <f t="shared" si="213"/>
        <v>1.04</v>
      </c>
      <c r="R278">
        <f t="shared" si="214"/>
        <v>4</v>
      </c>
      <c r="S278">
        <f t="shared" si="215"/>
        <v>1</v>
      </c>
      <c r="T278" t="str">
        <f>IF(V278="","",IFERROR(VLOOKUP(TRIM($V278),KEY!$B$2:$F$72,2,FALSE),""))</f>
        <v>MINI</v>
      </c>
      <c r="V278" s="78" t="s">
        <v>170</v>
      </c>
      <c r="W278" s="78">
        <v>1</v>
      </c>
      <c r="X278" s="78">
        <v>0</v>
      </c>
      <c r="Y278" s="78">
        <v>0</v>
      </c>
      <c r="Z278" s="78">
        <v>0</v>
      </c>
      <c r="AA278" s="78">
        <v>0</v>
      </c>
      <c r="AB278" s="78">
        <v>0</v>
      </c>
      <c r="AC278" s="78">
        <v>0</v>
      </c>
      <c r="AD278" s="78">
        <v>0</v>
      </c>
      <c r="AE278" s="78">
        <v>0</v>
      </c>
      <c r="AF278" s="78">
        <v>1</v>
      </c>
      <c r="AG278" s="78">
        <v>0</v>
      </c>
      <c r="AH278" s="78">
        <v>0</v>
      </c>
      <c r="AI278" s="78">
        <v>100</v>
      </c>
      <c r="AJ278" s="78">
        <v>0</v>
      </c>
      <c r="AK278" s="78">
        <v>0</v>
      </c>
      <c r="AL278" s="78">
        <v>0</v>
      </c>
      <c r="AM278" s="78">
        <v>0</v>
      </c>
    </row>
    <row r="279" spans="2:39" x14ac:dyDescent="0.35">
      <c r="B279" t="str">
        <f t="shared" si="200"/>
        <v>Northern California-8</v>
      </c>
      <c r="C279" t="str">
        <f t="shared" si="201"/>
        <v>Dec 2025-Northern California-8</v>
      </c>
      <c r="D279">
        <f t="shared" si="202"/>
        <v>8</v>
      </c>
      <c r="E279">
        <f t="shared" si="203"/>
        <v>4.07</v>
      </c>
      <c r="F279">
        <f t="shared" si="204"/>
        <v>7</v>
      </c>
      <c r="G279">
        <f t="shared" si="205"/>
        <v>4</v>
      </c>
      <c r="H279" t="str">
        <f>IF(V279="","",IFERROR(VLOOKUP(TRIM($V279),KEY!$B$2:$F$72,3,FALSE),""))</f>
        <v>Northern California</v>
      </c>
      <c r="I279" t="str">
        <f t="shared" si="206"/>
        <v>WEST-47</v>
      </c>
      <c r="J279" t="str">
        <f t="shared" si="207"/>
        <v>Mar 2026-WEST-47</v>
      </c>
      <c r="K279">
        <f t="shared" si="208"/>
        <v>47</v>
      </c>
      <c r="L279">
        <f t="shared" si="209"/>
        <v>20.51</v>
      </c>
      <c r="M279">
        <f>IF(V279="","",IFERROR(VLOOKUP(TRIM($V279),KEY!$B$2:$F$72,5,FALSE),""))</f>
        <v>51</v>
      </c>
      <c r="N279">
        <f t="shared" si="210"/>
        <v>20</v>
      </c>
      <c r="O279" t="str">
        <f t="shared" si="211"/>
        <v>Porsche-2</v>
      </c>
      <c r="P279">
        <f t="shared" si="212"/>
        <v>2</v>
      </c>
      <c r="Q279">
        <f t="shared" si="213"/>
        <v>1.02</v>
      </c>
      <c r="R279">
        <f t="shared" si="214"/>
        <v>2</v>
      </c>
      <c r="S279">
        <f t="shared" si="215"/>
        <v>1</v>
      </c>
      <c r="T279" t="str">
        <f>IF(V279="","",IFERROR(VLOOKUP(TRIM($V279),KEY!$B$2:$F$72,2,FALSE),""))</f>
        <v>Porsche</v>
      </c>
      <c r="V279" s="78" t="s">
        <v>171</v>
      </c>
      <c r="W279" s="78">
        <v>6</v>
      </c>
      <c r="X279" s="78">
        <v>0</v>
      </c>
      <c r="Y279" s="78">
        <v>0</v>
      </c>
      <c r="Z279" s="78">
        <v>0</v>
      </c>
      <c r="AA279" s="78">
        <v>0</v>
      </c>
      <c r="AB279" s="78">
        <v>0</v>
      </c>
      <c r="AC279" s="78">
        <v>0</v>
      </c>
      <c r="AD279" s="78">
        <v>0</v>
      </c>
      <c r="AE279" s="78">
        <v>0</v>
      </c>
      <c r="AF279" s="78">
        <v>0</v>
      </c>
      <c r="AG279" s="78">
        <v>0</v>
      </c>
      <c r="AH279" s="78">
        <v>6</v>
      </c>
      <c r="AI279" s="78">
        <v>100</v>
      </c>
      <c r="AJ279" s="78">
        <v>0</v>
      </c>
      <c r="AK279" s="78">
        <v>0</v>
      </c>
      <c r="AL279" s="78">
        <v>0</v>
      </c>
      <c r="AM279" s="78">
        <v>0</v>
      </c>
    </row>
    <row r="280" spans="2:39" x14ac:dyDescent="0.35">
      <c r="B280" t="str">
        <f t="shared" si="200"/>
        <v>Orange County-3</v>
      </c>
      <c r="C280" t="str">
        <f t="shared" si="201"/>
        <v>Dec 2025-Orange County-3</v>
      </c>
      <c r="D280">
        <f t="shared" si="202"/>
        <v>3</v>
      </c>
      <c r="E280">
        <f t="shared" si="203"/>
        <v>3.08</v>
      </c>
      <c r="F280">
        <f t="shared" si="204"/>
        <v>8</v>
      </c>
      <c r="G280">
        <f t="shared" si="205"/>
        <v>3</v>
      </c>
      <c r="H280" t="str">
        <f>IF(V280="","",IFERROR(VLOOKUP(TRIM($V280),KEY!$B$2:$F$72,3,FALSE),""))</f>
        <v>Orange County</v>
      </c>
      <c r="I280" t="str">
        <f t="shared" si="206"/>
        <v>WEST-12</v>
      </c>
      <c r="J280" t="str">
        <f t="shared" si="207"/>
        <v>Mar 2026-WEST-12</v>
      </c>
      <c r="K280">
        <f t="shared" si="208"/>
        <v>12</v>
      </c>
      <c r="L280">
        <f t="shared" si="209"/>
        <v>10.62</v>
      </c>
      <c r="M280">
        <f>IF(V280="","",IFERROR(VLOOKUP(TRIM($V280),KEY!$B$2:$F$72,5,FALSE),""))</f>
        <v>62</v>
      </c>
      <c r="N280">
        <f t="shared" si="210"/>
        <v>10</v>
      </c>
      <c r="O280" t="str">
        <f t="shared" si="211"/>
        <v>Volkswagen-1</v>
      </c>
      <c r="P280">
        <f t="shared" si="212"/>
        <v>1</v>
      </c>
      <c r="Q280">
        <f t="shared" si="213"/>
        <v>1.02</v>
      </c>
      <c r="R280">
        <f t="shared" si="214"/>
        <v>2</v>
      </c>
      <c r="S280">
        <f t="shared" si="215"/>
        <v>1</v>
      </c>
      <c r="T280" t="str">
        <f>IF(V280="","",IFERROR(VLOOKUP(TRIM($V280),KEY!$B$2:$F$72,2,FALSE),""))</f>
        <v>Volkswagen</v>
      </c>
      <c r="V280" s="78" t="s">
        <v>172</v>
      </c>
      <c r="W280" s="78">
        <v>37</v>
      </c>
      <c r="X280" s="78">
        <v>3</v>
      </c>
      <c r="Y280" s="78">
        <v>8</v>
      </c>
      <c r="Z280" s="78">
        <v>0</v>
      </c>
      <c r="AA280" s="78">
        <v>3</v>
      </c>
      <c r="AB280" s="78">
        <v>0</v>
      </c>
      <c r="AC280" s="78">
        <v>0</v>
      </c>
      <c r="AD280" s="78">
        <v>3</v>
      </c>
      <c r="AE280" s="78">
        <v>8</v>
      </c>
      <c r="AF280" s="78">
        <v>0</v>
      </c>
      <c r="AG280" s="78">
        <v>0</v>
      </c>
      <c r="AH280" s="78">
        <v>29</v>
      </c>
      <c r="AI280" s="78">
        <v>78</v>
      </c>
      <c r="AJ280" s="78">
        <v>4</v>
      </c>
      <c r="AK280" s="78">
        <v>1</v>
      </c>
      <c r="AL280" s="78">
        <v>0</v>
      </c>
      <c r="AM280" s="78">
        <v>14</v>
      </c>
    </row>
    <row r="281" spans="2:39" x14ac:dyDescent="0.35">
      <c r="B281" t="str">
        <f t="shared" si="200"/>
        <v>Orange County-1</v>
      </c>
      <c r="C281" t="str">
        <f t="shared" si="201"/>
        <v>Dec 2025-Orange County-1</v>
      </c>
      <c r="D281">
        <f t="shared" si="202"/>
        <v>1</v>
      </c>
      <c r="E281">
        <f t="shared" si="203"/>
        <v>1.04</v>
      </c>
      <c r="F281">
        <f t="shared" si="204"/>
        <v>4</v>
      </c>
      <c r="G281">
        <f t="shared" si="205"/>
        <v>1</v>
      </c>
      <c r="H281" t="str">
        <f>IF(V281="","",IFERROR(VLOOKUP(TRIM($V281),KEY!$B$2:$F$72,3,FALSE),""))</f>
        <v>Orange County</v>
      </c>
      <c r="I281" t="str">
        <f t="shared" si="206"/>
        <v>WEST-5</v>
      </c>
      <c r="J281" t="str">
        <f t="shared" si="207"/>
        <v>Mar 2026-WEST-5</v>
      </c>
      <c r="K281">
        <f t="shared" si="208"/>
        <v>5</v>
      </c>
      <c r="L281">
        <f t="shared" si="209"/>
        <v>5.19</v>
      </c>
      <c r="M281">
        <f>IF(V281="","",IFERROR(VLOOKUP(TRIM($V281),KEY!$B$2:$F$72,5,FALSE),""))</f>
        <v>19</v>
      </c>
      <c r="N281">
        <f t="shared" si="210"/>
        <v>5</v>
      </c>
      <c r="O281" t="str">
        <f t="shared" si="211"/>
        <v>BMW-1</v>
      </c>
      <c r="P281">
        <f t="shared" si="212"/>
        <v>1</v>
      </c>
      <c r="Q281">
        <f t="shared" si="213"/>
        <v>1.07</v>
      </c>
      <c r="R281">
        <f t="shared" si="214"/>
        <v>7</v>
      </c>
      <c r="S281">
        <f t="shared" si="215"/>
        <v>1</v>
      </c>
      <c r="T281" t="str">
        <f>IF(V281="","",IFERROR(VLOOKUP(TRIM($V281),KEY!$B$2:$F$72,2,FALSE),""))</f>
        <v>BMW</v>
      </c>
      <c r="V281" s="78" t="s">
        <v>173</v>
      </c>
      <c r="W281" s="78">
        <v>140</v>
      </c>
      <c r="X281" s="78">
        <v>31</v>
      </c>
      <c r="Y281" s="78">
        <v>22</v>
      </c>
      <c r="Z281" s="78">
        <v>1</v>
      </c>
      <c r="AA281" s="78">
        <v>31</v>
      </c>
      <c r="AB281" s="78">
        <v>0</v>
      </c>
      <c r="AC281" s="78">
        <v>0</v>
      </c>
      <c r="AD281" s="78">
        <v>32</v>
      </c>
      <c r="AE281" s="78">
        <v>23</v>
      </c>
      <c r="AF281" s="78">
        <v>0</v>
      </c>
      <c r="AG281" s="78">
        <v>0</v>
      </c>
      <c r="AH281" s="78">
        <v>106</v>
      </c>
      <c r="AI281" s="78">
        <v>76</v>
      </c>
      <c r="AJ281" s="78">
        <v>1</v>
      </c>
      <c r="AK281" s="78">
        <v>1</v>
      </c>
      <c r="AL281" s="78">
        <v>0</v>
      </c>
      <c r="AM281" s="78">
        <v>1</v>
      </c>
    </row>
    <row r="282" spans="2:39" x14ac:dyDescent="0.35">
      <c r="B282" t="str">
        <f t="shared" si="200"/>
        <v>Orange County-5</v>
      </c>
      <c r="C282" t="str">
        <f t="shared" si="201"/>
        <v>Dec 2025-Orange County-5</v>
      </c>
      <c r="D282">
        <f t="shared" si="202"/>
        <v>5</v>
      </c>
      <c r="E282">
        <f t="shared" si="203"/>
        <v>5.03</v>
      </c>
      <c r="F282">
        <f t="shared" si="204"/>
        <v>3</v>
      </c>
      <c r="G282">
        <f t="shared" si="205"/>
        <v>5</v>
      </c>
      <c r="H282" t="str">
        <f>IF(V282="","",IFERROR(VLOOKUP(TRIM($V282),KEY!$B$2:$F$72,3,FALSE),""))</f>
        <v>Orange County</v>
      </c>
      <c r="I282" t="str">
        <f t="shared" si="206"/>
        <v>WEST-26</v>
      </c>
      <c r="J282" t="str">
        <f t="shared" si="207"/>
        <v>Mar 2026-WEST-26</v>
      </c>
      <c r="K282">
        <f t="shared" si="208"/>
        <v>26</v>
      </c>
      <c r="L282">
        <f t="shared" si="209"/>
        <v>20.149999999999999</v>
      </c>
      <c r="M282">
        <f>IF(V282="","",IFERROR(VLOOKUP(TRIM($V282),KEY!$B$2:$F$72,5,FALSE),""))</f>
        <v>15</v>
      </c>
      <c r="N282">
        <f t="shared" si="210"/>
        <v>20</v>
      </c>
      <c r="O282" t="str">
        <f t="shared" si="211"/>
        <v>BMW-4</v>
      </c>
      <c r="P282">
        <f t="shared" si="212"/>
        <v>4</v>
      </c>
      <c r="Q282">
        <f t="shared" si="213"/>
        <v>4.05</v>
      </c>
      <c r="R282">
        <f t="shared" si="214"/>
        <v>5</v>
      </c>
      <c r="S282">
        <f t="shared" si="215"/>
        <v>4</v>
      </c>
      <c r="T282" t="str">
        <f>IF(V282="","",IFERROR(VLOOKUP(TRIM($V282),KEY!$B$2:$F$72,2,FALSE),""))</f>
        <v>BMW</v>
      </c>
      <c r="V282" s="78" t="s">
        <v>174</v>
      </c>
      <c r="W282" s="78">
        <v>49</v>
      </c>
      <c r="X282" s="78">
        <v>0</v>
      </c>
      <c r="Y282" s="78">
        <v>0</v>
      </c>
      <c r="Z282" s="78">
        <v>0</v>
      </c>
      <c r="AA282" s="78">
        <v>0</v>
      </c>
      <c r="AB282" s="78">
        <v>0</v>
      </c>
      <c r="AC282" s="78">
        <v>0</v>
      </c>
      <c r="AD282" s="78">
        <v>0</v>
      </c>
      <c r="AE282" s="78">
        <v>0</v>
      </c>
      <c r="AF282" s="78">
        <v>0</v>
      </c>
      <c r="AG282" s="78">
        <v>0</v>
      </c>
      <c r="AH282" s="78">
        <v>49</v>
      </c>
      <c r="AI282" s="78">
        <v>100</v>
      </c>
      <c r="AJ282" s="78">
        <v>0</v>
      </c>
      <c r="AK282" s="78">
        <v>0</v>
      </c>
      <c r="AL282" s="78">
        <v>0</v>
      </c>
      <c r="AM282" s="78">
        <v>0</v>
      </c>
    </row>
    <row r="283" spans="2:39" x14ac:dyDescent="0.35">
      <c r="B283" t="str">
        <f t="shared" si="200"/>
        <v>Orange County-8</v>
      </c>
      <c r="C283" t="str">
        <f t="shared" si="201"/>
        <v>Dec 2025-Orange County-8</v>
      </c>
      <c r="D283">
        <f t="shared" si="202"/>
        <v>8</v>
      </c>
      <c r="E283">
        <f t="shared" si="203"/>
        <v>5.07</v>
      </c>
      <c r="F283">
        <f t="shared" si="204"/>
        <v>7</v>
      </c>
      <c r="G283">
        <f t="shared" si="205"/>
        <v>5</v>
      </c>
      <c r="H283" t="str">
        <f>IF(V283="","",IFERROR(VLOOKUP(TRIM($V283),KEY!$B$2:$F$72,3,FALSE),""))</f>
        <v>Orange County</v>
      </c>
      <c r="I283" t="str">
        <f t="shared" si="206"/>
        <v>WEST-51</v>
      </c>
      <c r="J283" t="str">
        <f t="shared" si="207"/>
        <v>Mar 2026-WEST-51</v>
      </c>
      <c r="K283">
        <f t="shared" si="208"/>
        <v>51</v>
      </c>
      <c r="L283">
        <f t="shared" si="209"/>
        <v>20.56</v>
      </c>
      <c r="M283">
        <f>IF(V283="","",IFERROR(VLOOKUP(TRIM($V283),KEY!$B$2:$F$72,5,FALSE),""))</f>
        <v>56</v>
      </c>
      <c r="N283">
        <f t="shared" si="210"/>
        <v>20</v>
      </c>
      <c r="O283" t="str">
        <f t="shared" si="211"/>
        <v>Subaru-2</v>
      </c>
      <c r="P283">
        <f t="shared" si="212"/>
        <v>2</v>
      </c>
      <c r="Q283">
        <f t="shared" si="213"/>
        <v>2.0099999999999998</v>
      </c>
      <c r="R283">
        <f t="shared" si="214"/>
        <v>1</v>
      </c>
      <c r="S283">
        <f t="shared" si="215"/>
        <v>2</v>
      </c>
      <c r="T283" t="str">
        <f>IF(V283="","",IFERROR(VLOOKUP(TRIM($V283),KEY!$B$2:$F$72,2,FALSE),""))</f>
        <v>Subaru</v>
      </c>
      <c r="V283" s="78" t="s">
        <v>175</v>
      </c>
      <c r="W283" s="78">
        <v>12</v>
      </c>
      <c r="X283" s="78">
        <v>0</v>
      </c>
      <c r="Y283" s="78">
        <v>0</v>
      </c>
      <c r="Z283" s="78">
        <v>0</v>
      </c>
      <c r="AA283" s="78">
        <v>0</v>
      </c>
      <c r="AB283" s="78">
        <v>0</v>
      </c>
      <c r="AC283" s="78">
        <v>0</v>
      </c>
      <c r="AD283" s="78">
        <v>0</v>
      </c>
      <c r="AE283" s="78">
        <v>0</v>
      </c>
      <c r="AF283" s="78">
        <v>0</v>
      </c>
      <c r="AG283" s="78">
        <v>0</v>
      </c>
      <c r="AH283" s="78">
        <v>12</v>
      </c>
      <c r="AI283" s="78">
        <v>100</v>
      </c>
      <c r="AJ283" s="78">
        <v>0</v>
      </c>
      <c r="AK283" s="78">
        <v>0</v>
      </c>
      <c r="AL283" s="78">
        <v>0</v>
      </c>
      <c r="AM283" s="78">
        <v>0</v>
      </c>
    </row>
    <row r="284" spans="2:39" x14ac:dyDescent="0.35">
      <c r="B284" t="str">
        <f t="shared" si="200"/>
        <v>Orange County-7</v>
      </c>
      <c r="C284" t="str">
        <f t="shared" si="201"/>
        <v>Dec 2025-Orange County-7</v>
      </c>
      <c r="D284">
        <f t="shared" si="202"/>
        <v>7</v>
      </c>
      <c r="E284">
        <f t="shared" si="203"/>
        <v>5.0599999999999996</v>
      </c>
      <c r="F284">
        <f t="shared" si="204"/>
        <v>6</v>
      </c>
      <c r="G284">
        <f t="shared" si="205"/>
        <v>5</v>
      </c>
      <c r="H284" t="str">
        <f>IF(V284="","",IFERROR(VLOOKUP(TRIM($V284),KEY!$B$2:$F$72,3,FALSE),""))</f>
        <v>Orange County</v>
      </c>
      <c r="I284" t="str">
        <f t="shared" si="206"/>
        <v>WEST-37</v>
      </c>
      <c r="J284" t="str">
        <f t="shared" si="207"/>
        <v>Mar 2026-WEST-37</v>
      </c>
      <c r="K284">
        <f t="shared" si="208"/>
        <v>37</v>
      </c>
      <c r="L284">
        <f t="shared" si="209"/>
        <v>20.34</v>
      </c>
      <c r="M284">
        <f>IF(V284="","",IFERROR(VLOOKUP(TRIM($V284),KEY!$B$2:$F$72,5,FALSE),""))</f>
        <v>34</v>
      </c>
      <c r="N284">
        <f t="shared" si="210"/>
        <v>20</v>
      </c>
      <c r="O284" t="str">
        <f t="shared" si="211"/>
        <v>Lincoln-1</v>
      </c>
      <c r="P284">
        <f t="shared" si="212"/>
        <v>1</v>
      </c>
      <c r="Q284">
        <f t="shared" si="213"/>
        <v>1.01</v>
      </c>
      <c r="R284">
        <f t="shared" si="214"/>
        <v>1</v>
      </c>
      <c r="S284">
        <f t="shared" si="215"/>
        <v>1</v>
      </c>
      <c r="T284" t="str">
        <f>IF(V284="","",IFERROR(VLOOKUP(TRIM($V284),KEY!$B$2:$F$72,2,FALSE),""))</f>
        <v>Lincoln</v>
      </c>
      <c r="V284" s="78" t="s">
        <v>176</v>
      </c>
      <c r="W284" s="78">
        <v>3</v>
      </c>
      <c r="X284" s="78">
        <v>0</v>
      </c>
      <c r="Y284" s="78">
        <v>0</v>
      </c>
      <c r="Z284" s="78">
        <v>0</v>
      </c>
      <c r="AA284" s="78">
        <v>0</v>
      </c>
      <c r="AB284" s="78">
        <v>0</v>
      </c>
      <c r="AC284" s="78">
        <v>0</v>
      </c>
      <c r="AD284" s="78">
        <v>0</v>
      </c>
      <c r="AE284" s="78">
        <v>0</v>
      </c>
      <c r="AF284" s="78">
        <v>3</v>
      </c>
      <c r="AG284" s="78">
        <v>0</v>
      </c>
      <c r="AH284" s="78">
        <v>0</v>
      </c>
      <c r="AI284" s="78">
        <v>100</v>
      </c>
      <c r="AJ284" s="78">
        <v>0</v>
      </c>
      <c r="AK284" s="78">
        <v>0</v>
      </c>
      <c r="AL284" s="78">
        <v>0</v>
      </c>
      <c r="AM284" s="78">
        <v>0</v>
      </c>
    </row>
    <row r="285" spans="2:39" x14ac:dyDescent="0.35">
      <c r="B285" t="str">
        <f t="shared" si="200"/>
        <v>Orange County-2</v>
      </c>
      <c r="C285" t="str">
        <f t="shared" si="201"/>
        <v>Dec 2025-Orange County-2</v>
      </c>
      <c r="D285">
        <f t="shared" si="202"/>
        <v>2</v>
      </c>
      <c r="E285">
        <f t="shared" si="203"/>
        <v>2.02</v>
      </c>
      <c r="F285">
        <f>IF(V285="","",COUNTIFS($H$256:$H$325,H285,$V$256:$V$325,"&lt;"&amp;V285)+1)</f>
        <v>2</v>
      </c>
      <c r="G285">
        <f t="shared" si="205"/>
        <v>2</v>
      </c>
      <c r="H285" t="str">
        <f>IF(V285="","",IFERROR(VLOOKUP(TRIM($V285),KEY!$B$2:$F$72,3,FALSE),""))</f>
        <v>Orange County</v>
      </c>
      <c r="I285" t="str">
        <f t="shared" si="206"/>
        <v>WEST-8</v>
      </c>
      <c r="J285" t="str">
        <f t="shared" si="207"/>
        <v>Mar 2026-WEST-8</v>
      </c>
      <c r="K285">
        <f t="shared" si="208"/>
        <v>8</v>
      </c>
      <c r="L285">
        <f t="shared" si="209"/>
        <v>8.08</v>
      </c>
      <c r="M285">
        <f>IF(V285="","",IFERROR(VLOOKUP(TRIM($V285),KEY!$B$2:$F$72,5,FALSE),""))</f>
        <v>8</v>
      </c>
      <c r="N285">
        <f t="shared" si="210"/>
        <v>8</v>
      </c>
      <c r="O285" t="str">
        <f t="shared" si="211"/>
        <v>Audi-3</v>
      </c>
      <c r="P285">
        <f t="shared" si="212"/>
        <v>3</v>
      </c>
      <c r="Q285">
        <f t="shared" si="213"/>
        <v>2.06</v>
      </c>
      <c r="R285">
        <f t="shared" si="214"/>
        <v>6</v>
      </c>
      <c r="S285">
        <f t="shared" si="215"/>
        <v>2</v>
      </c>
      <c r="T285" t="str">
        <f>IF(V285="","",IFERROR(VLOOKUP(TRIM($V285),KEY!$B$2:$F$72,2,FALSE),""))</f>
        <v>Audi</v>
      </c>
      <c r="V285" s="78" t="s">
        <v>177</v>
      </c>
      <c r="W285" s="78">
        <v>71</v>
      </c>
      <c r="X285" s="78">
        <v>7</v>
      </c>
      <c r="Y285" s="78">
        <v>10</v>
      </c>
      <c r="Z285" s="78">
        <v>0</v>
      </c>
      <c r="AA285" s="78">
        <v>7</v>
      </c>
      <c r="AB285" s="78">
        <v>0</v>
      </c>
      <c r="AC285" s="78">
        <v>0</v>
      </c>
      <c r="AD285" s="78">
        <v>7</v>
      </c>
      <c r="AE285" s="78">
        <v>10</v>
      </c>
      <c r="AF285" s="78">
        <v>1</v>
      </c>
      <c r="AG285" s="78">
        <v>0</v>
      </c>
      <c r="AH285" s="78">
        <v>63</v>
      </c>
      <c r="AI285" s="78">
        <v>90</v>
      </c>
      <c r="AJ285" s="78">
        <v>0</v>
      </c>
      <c r="AK285" s="78">
        <v>0</v>
      </c>
      <c r="AL285" s="78">
        <v>0</v>
      </c>
      <c r="AM285" s="78">
        <v>0</v>
      </c>
    </row>
    <row r="286" spans="2:39" x14ac:dyDescent="0.35">
      <c r="B286" t="str">
        <f t="shared" si="200"/>
        <v>Orange County-4</v>
      </c>
      <c r="C286" t="str">
        <f t="shared" si="201"/>
        <v>Dec 2025-Orange County-4</v>
      </c>
      <c r="D286">
        <f t="shared" si="202"/>
        <v>4</v>
      </c>
      <c r="E286">
        <f t="shared" si="203"/>
        <v>4.01</v>
      </c>
      <c r="F286">
        <f t="shared" si="204"/>
        <v>1</v>
      </c>
      <c r="G286">
        <f t="shared" si="205"/>
        <v>4</v>
      </c>
      <c r="H286" t="str">
        <f>IF(V286="","",IFERROR(VLOOKUP(TRIM($V286),KEY!$B$2:$F$72,3,FALSE),""))</f>
        <v>Orange County</v>
      </c>
      <c r="I286" t="str">
        <f t="shared" si="206"/>
        <v>WEST-17</v>
      </c>
      <c r="J286" t="str">
        <f t="shared" si="207"/>
        <v>Mar 2026-WEST-17</v>
      </c>
      <c r="K286">
        <f t="shared" si="208"/>
        <v>17</v>
      </c>
      <c r="L286">
        <f t="shared" si="209"/>
        <v>17.05</v>
      </c>
      <c r="M286">
        <f>IF(V286="","",IFERROR(VLOOKUP(TRIM($V286),KEY!$B$2:$F$72,5,FALSE),""))</f>
        <v>5</v>
      </c>
      <c r="N286">
        <f t="shared" si="210"/>
        <v>17</v>
      </c>
      <c r="O286" t="str">
        <f t="shared" si="211"/>
        <v>Audi-3</v>
      </c>
      <c r="P286">
        <f t="shared" si="212"/>
        <v>3</v>
      </c>
      <c r="Q286">
        <f t="shared" si="213"/>
        <v>2.0299999999999998</v>
      </c>
      <c r="R286">
        <f t="shared" si="214"/>
        <v>3</v>
      </c>
      <c r="S286">
        <f t="shared" si="215"/>
        <v>2</v>
      </c>
      <c r="T286" t="str">
        <f>IF(V286="","",IFERROR(VLOOKUP(TRIM($V286),KEY!$B$2:$F$72,2,FALSE),""))</f>
        <v>Audi</v>
      </c>
      <c r="V286" s="78" t="s">
        <v>178</v>
      </c>
      <c r="W286" s="78">
        <v>21</v>
      </c>
      <c r="X286" s="78">
        <v>1</v>
      </c>
      <c r="Y286" s="78">
        <v>5</v>
      </c>
      <c r="Z286" s="78">
        <v>1</v>
      </c>
      <c r="AA286" s="78">
        <v>1</v>
      </c>
      <c r="AB286" s="78">
        <v>0</v>
      </c>
      <c r="AC286" s="78">
        <v>0</v>
      </c>
      <c r="AD286" s="78">
        <v>2</v>
      </c>
      <c r="AE286" s="78">
        <v>10</v>
      </c>
      <c r="AF286" s="78">
        <v>0</v>
      </c>
      <c r="AG286" s="78">
        <v>0</v>
      </c>
      <c r="AH286" s="78">
        <v>18</v>
      </c>
      <c r="AI286" s="78">
        <v>86</v>
      </c>
      <c r="AJ286" s="78">
        <v>1</v>
      </c>
      <c r="AK286" s="78">
        <v>0</v>
      </c>
      <c r="AL286" s="78">
        <v>0</v>
      </c>
      <c r="AM286" s="78">
        <v>5</v>
      </c>
    </row>
    <row r="287" spans="2:39" x14ac:dyDescent="0.35">
      <c r="B287" t="str">
        <f t="shared" si="200"/>
        <v>Orange County-6</v>
      </c>
      <c r="C287" t="str">
        <f t="shared" si="201"/>
        <v>Dec 2025-Orange County-6</v>
      </c>
      <c r="D287">
        <f t="shared" si="202"/>
        <v>6</v>
      </c>
      <c r="E287">
        <f t="shared" si="203"/>
        <v>5.05</v>
      </c>
      <c r="F287">
        <f t="shared" si="204"/>
        <v>5</v>
      </c>
      <c r="G287">
        <f t="shared" si="205"/>
        <v>5</v>
      </c>
      <c r="H287" t="str">
        <f>IF(V287="","",IFERROR(VLOOKUP(TRIM($V287),KEY!$B$2:$F$72,3,FALSE),""))</f>
        <v>Orange County</v>
      </c>
      <c r="I287" t="str">
        <f t="shared" si="206"/>
        <v>WEST-29</v>
      </c>
      <c r="J287" t="str">
        <f t="shared" si="207"/>
        <v>Mar 2026-WEST-29</v>
      </c>
      <c r="K287">
        <f t="shared" si="208"/>
        <v>29</v>
      </c>
      <c r="L287">
        <f t="shared" si="209"/>
        <v>20.2</v>
      </c>
      <c r="M287">
        <f>IF(V287="","",IFERROR(VLOOKUP(TRIM($V287),KEY!$B$2:$F$72,5,FALSE),""))</f>
        <v>20</v>
      </c>
      <c r="N287">
        <f t="shared" si="210"/>
        <v>20</v>
      </c>
      <c r="O287" t="str">
        <f t="shared" si="211"/>
        <v>MINI-1</v>
      </c>
      <c r="P287">
        <f t="shared" si="212"/>
        <v>1</v>
      </c>
      <c r="Q287">
        <f t="shared" si="213"/>
        <v>1.01</v>
      </c>
      <c r="R287">
        <f t="shared" si="214"/>
        <v>1</v>
      </c>
      <c r="S287">
        <f t="shared" si="215"/>
        <v>1</v>
      </c>
      <c r="T287" t="str">
        <f>IF(V287="","",IFERROR(VLOOKUP(TRIM($V287),KEY!$B$2:$F$72,2,FALSE),""))</f>
        <v>MINI</v>
      </c>
      <c r="V287" s="78" t="s">
        <v>179</v>
      </c>
      <c r="W287" s="78">
        <v>5</v>
      </c>
      <c r="X287" s="78">
        <v>0</v>
      </c>
      <c r="Y287" s="78">
        <v>0</v>
      </c>
      <c r="Z287" s="78">
        <v>0</v>
      </c>
      <c r="AA287" s="78">
        <v>0</v>
      </c>
      <c r="AB287" s="78">
        <v>0</v>
      </c>
      <c r="AC287" s="78">
        <v>0</v>
      </c>
      <c r="AD287" s="78">
        <v>0</v>
      </c>
      <c r="AE287" s="78">
        <v>0</v>
      </c>
      <c r="AF287" s="78">
        <v>5</v>
      </c>
      <c r="AG287" s="78">
        <v>0</v>
      </c>
      <c r="AH287" s="78">
        <v>0</v>
      </c>
      <c r="AI287" s="78">
        <v>100</v>
      </c>
      <c r="AJ287" s="78">
        <v>0</v>
      </c>
      <c r="AK287" s="78">
        <v>0</v>
      </c>
      <c r="AL287" s="78">
        <v>0</v>
      </c>
      <c r="AM287" s="78">
        <v>0</v>
      </c>
    </row>
    <row r="288" spans="2:39" x14ac:dyDescent="0.35">
      <c r="B288" t="str">
        <f t="shared" si="200"/>
        <v>Southern California-6</v>
      </c>
      <c r="C288" t="str">
        <f t="shared" si="201"/>
        <v>Dec 2025-Southern California-6</v>
      </c>
      <c r="D288">
        <f t="shared" si="202"/>
        <v>6</v>
      </c>
      <c r="E288">
        <f t="shared" si="203"/>
        <v>6.01</v>
      </c>
      <c r="F288">
        <f t="shared" si="204"/>
        <v>1</v>
      </c>
      <c r="G288">
        <f t="shared" si="205"/>
        <v>6</v>
      </c>
      <c r="H288" t="str">
        <f>IF(V288="","",IFERROR(VLOOKUP(TRIM($V288),KEY!$B$2:$F$72,3,FALSE),""))</f>
        <v>Southern California</v>
      </c>
      <c r="I288" t="str">
        <f t="shared" si="206"/>
        <v>WEST-20</v>
      </c>
      <c r="J288" t="str">
        <f t="shared" si="207"/>
        <v>Mar 2026-WEST-20</v>
      </c>
      <c r="K288">
        <f t="shared" si="208"/>
        <v>20</v>
      </c>
      <c r="L288">
        <f t="shared" si="209"/>
        <v>20.02</v>
      </c>
      <c r="M288">
        <f>IF(V288="","",IFERROR(VLOOKUP(TRIM($V288),KEY!$B$2:$F$72,5,FALSE),""))</f>
        <v>2</v>
      </c>
      <c r="N288">
        <f t="shared" si="210"/>
        <v>20</v>
      </c>
      <c r="O288" t="str">
        <f t="shared" si="211"/>
        <v>Acura-2</v>
      </c>
      <c r="P288">
        <f t="shared" si="212"/>
        <v>2</v>
      </c>
      <c r="Q288">
        <f t="shared" si="213"/>
        <v>2.02</v>
      </c>
      <c r="R288">
        <f t="shared" si="214"/>
        <v>2</v>
      </c>
      <c r="S288">
        <f t="shared" si="215"/>
        <v>2</v>
      </c>
      <c r="T288" t="str">
        <f>IF(V288="","",IFERROR(VLOOKUP(TRIM($V288),KEY!$B$2:$F$72,2,FALSE),""))</f>
        <v>Acura</v>
      </c>
      <c r="V288" s="78" t="s">
        <v>180</v>
      </c>
      <c r="W288" s="78">
        <v>10</v>
      </c>
      <c r="X288" s="78">
        <v>0</v>
      </c>
      <c r="Y288" s="78">
        <v>0</v>
      </c>
      <c r="Z288" s="78">
        <v>0</v>
      </c>
      <c r="AA288" s="78">
        <v>0</v>
      </c>
      <c r="AB288" s="78">
        <v>0</v>
      </c>
      <c r="AC288" s="78">
        <v>0</v>
      </c>
      <c r="AD288" s="78">
        <v>0</v>
      </c>
      <c r="AE288" s="78">
        <v>0</v>
      </c>
      <c r="AF288" s="78">
        <v>0</v>
      </c>
      <c r="AG288" s="78">
        <v>0</v>
      </c>
      <c r="AH288" s="78">
        <v>10</v>
      </c>
      <c r="AI288" s="78">
        <v>100</v>
      </c>
      <c r="AJ288" s="78">
        <v>0</v>
      </c>
      <c r="AK288" s="78">
        <v>0</v>
      </c>
      <c r="AL288" s="78">
        <v>0</v>
      </c>
      <c r="AM288" s="78">
        <v>0</v>
      </c>
    </row>
    <row r="289" spans="2:39" x14ac:dyDescent="0.35">
      <c r="B289" t="str">
        <f t="shared" si="200"/>
        <v>Southern California-8</v>
      </c>
      <c r="C289" t="str">
        <f t="shared" si="201"/>
        <v>Dec 2025-Southern California-8</v>
      </c>
      <c r="D289">
        <f t="shared" si="202"/>
        <v>8</v>
      </c>
      <c r="E289">
        <f t="shared" si="203"/>
        <v>6.05</v>
      </c>
      <c r="F289">
        <f t="shared" si="204"/>
        <v>5</v>
      </c>
      <c r="G289">
        <f t="shared" si="205"/>
        <v>6</v>
      </c>
      <c r="H289" t="str">
        <f>IF(V289="","",IFERROR(VLOOKUP(TRIM($V289),KEY!$B$2:$F$72,3,FALSE),""))</f>
        <v>Southern California</v>
      </c>
      <c r="I289" t="str">
        <f t="shared" si="206"/>
        <v>WEST-32</v>
      </c>
      <c r="J289" t="str">
        <f t="shared" si="207"/>
        <v>Mar 2026-WEST-32</v>
      </c>
      <c r="K289">
        <f t="shared" si="208"/>
        <v>32</v>
      </c>
      <c r="L289">
        <f t="shared" si="209"/>
        <v>20.25</v>
      </c>
      <c r="M289">
        <f>IF(V289="","",IFERROR(VLOOKUP(TRIM($V289),KEY!$B$2:$F$72,5,FALSE),""))</f>
        <v>25</v>
      </c>
      <c r="N289">
        <f t="shared" si="210"/>
        <v>20</v>
      </c>
      <c r="O289" t="str">
        <f t="shared" si="211"/>
        <v>Honda-2</v>
      </c>
      <c r="P289">
        <f t="shared" si="212"/>
        <v>2</v>
      </c>
      <c r="Q289">
        <f t="shared" si="213"/>
        <v>2.04</v>
      </c>
      <c r="R289">
        <f t="shared" si="214"/>
        <v>4</v>
      </c>
      <c r="S289">
        <f t="shared" si="215"/>
        <v>2</v>
      </c>
      <c r="T289" t="str">
        <f>IF(V289="","",IFERROR(VLOOKUP(TRIM($V289),KEY!$B$2:$F$72,2,FALSE),""))</f>
        <v>Honda</v>
      </c>
      <c r="V289" s="78" t="s">
        <v>181</v>
      </c>
      <c r="W289" s="78">
        <v>16</v>
      </c>
      <c r="X289" s="78">
        <v>0</v>
      </c>
      <c r="Y289" s="78">
        <v>0</v>
      </c>
      <c r="Z289" s="78">
        <v>0</v>
      </c>
      <c r="AA289" s="78">
        <v>0</v>
      </c>
      <c r="AB289" s="78">
        <v>0</v>
      </c>
      <c r="AC289" s="78">
        <v>0</v>
      </c>
      <c r="AD289" s="78">
        <v>0</v>
      </c>
      <c r="AE289" s="78">
        <v>0</v>
      </c>
      <c r="AF289" s="78">
        <v>0</v>
      </c>
      <c r="AG289" s="78">
        <v>0</v>
      </c>
      <c r="AH289" s="78">
        <v>16</v>
      </c>
      <c r="AI289" s="78">
        <v>100</v>
      </c>
      <c r="AJ289" s="78">
        <v>0</v>
      </c>
      <c r="AK289" s="78">
        <v>0</v>
      </c>
      <c r="AL289" s="78">
        <v>0</v>
      </c>
      <c r="AM289" s="78">
        <v>0</v>
      </c>
    </row>
    <row r="290" spans="2:39" x14ac:dyDescent="0.35">
      <c r="B290" t="str">
        <f t="shared" si="200"/>
        <v>Southern California-9</v>
      </c>
      <c r="C290" t="str">
        <f t="shared" si="201"/>
        <v>Dec 2025-Southern California-9</v>
      </c>
      <c r="D290">
        <f t="shared" si="202"/>
        <v>9</v>
      </c>
      <c r="E290">
        <f t="shared" si="203"/>
        <v>6.06</v>
      </c>
      <c r="F290">
        <f t="shared" si="204"/>
        <v>6</v>
      </c>
      <c r="G290">
        <f t="shared" si="205"/>
        <v>6</v>
      </c>
      <c r="H290" t="str">
        <f>IF(V290="","",IFERROR(VLOOKUP(TRIM($V290),KEY!$B$2:$F$72,3,FALSE),""))</f>
        <v>Southern California</v>
      </c>
      <c r="I290" t="str">
        <f t="shared" si="206"/>
        <v>WEST-33</v>
      </c>
      <c r="J290" t="str">
        <f t="shared" si="207"/>
        <v>Mar 2026-WEST-33</v>
      </c>
      <c r="K290">
        <f t="shared" si="208"/>
        <v>33</v>
      </c>
      <c r="L290">
        <f t="shared" si="209"/>
        <v>20.260000000000002</v>
      </c>
      <c r="M290">
        <f>IF(V290="","",IFERROR(VLOOKUP(TRIM($V290),KEY!$B$2:$F$72,5,FALSE),""))</f>
        <v>26</v>
      </c>
      <c r="N290">
        <f t="shared" si="210"/>
        <v>20</v>
      </c>
      <c r="O290" t="str">
        <f t="shared" si="211"/>
        <v>Toyota-3</v>
      </c>
      <c r="P290">
        <f t="shared" si="212"/>
        <v>3</v>
      </c>
      <c r="Q290">
        <f t="shared" si="213"/>
        <v>3.02</v>
      </c>
      <c r="R290">
        <f t="shared" si="214"/>
        <v>2</v>
      </c>
      <c r="S290">
        <f t="shared" si="215"/>
        <v>3</v>
      </c>
      <c r="T290" t="str">
        <f>IF(V290="","",IFERROR(VLOOKUP(TRIM($V290),KEY!$B$2:$F$72,2,FALSE),""))</f>
        <v>Toyota</v>
      </c>
      <c r="V290" s="78" t="s">
        <v>183</v>
      </c>
      <c r="W290" s="78">
        <v>9</v>
      </c>
      <c r="X290" s="78">
        <v>0</v>
      </c>
      <c r="Y290" s="78">
        <v>0</v>
      </c>
      <c r="Z290" s="78">
        <v>0</v>
      </c>
      <c r="AA290" s="78">
        <v>0</v>
      </c>
      <c r="AB290" s="78">
        <v>1</v>
      </c>
      <c r="AC290" s="78">
        <v>0</v>
      </c>
      <c r="AD290" s="78">
        <v>1</v>
      </c>
      <c r="AE290" s="78">
        <v>11</v>
      </c>
      <c r="AF290" s="78">
        <v>3</v>
      </c>
      <c r="AG290" s="78">
        <v>0</v>
      </c>
      <c r="AH290" s="78">
        <v>5</v>
      </c>
      <c r="AI290" s="78">
        <v>89</v>
      </c>
      <c r="AJ290" s="78">
        <v>0</v>
      </c>
      <c r="AK290" s="78">
        <v>0</v>
      </c>
      <c r="AL290" s="78">
        <v>0</v>
      </c>
      <c r="AM290" s="78">
        <v>0</v>
      </c>
    </row>
    <row r="291" spans="2:39" x14ac:dyDescent="0.35">
      <c r="B291" t="str">
        <f t="shared" si="200"/>
        <v>Southern California-1</v>
      </c>
      <c r="C291" t="str">
        <f t="shared" si="201"/>
        <v>Dec 2025-Southern California-1</v>
      </c>
      <c r="D291">
        <f t="shared" si="202"/>
        <v>1</v>
      </c>
      <c r="E291">
        <f t="shared" si="203"/>
        <v>1.08</v>
      </c>
      <c r="F291">
        <f t="shared" si="204"/>
        <v>8</v>
      </c>
      <c r="G291">
        <f t="shared" si="205"/>
        <v>1</v>
      </c>
      <c r="H291" t="str">
        <f>IF(V291="","",IFERROR(VLOOKUP(TRIM($V291),KEY!$B$2:$F$72,3,FALSE),""))</f>
        <v>Southern California</v>
      </c>
      <c r="I291" t="str">
        <f t="shared" si="206"/>
        <v>WEST-9</v>
      </c>
      <c r="J291" t="str">
        <f t="shared" si="207"/>
        <v>Mar 2026-WEST-9</v>
      </c>
      <c r="K291">
        <f t="shared" si="208"/>
        <v>9</v>
      </c>
      <c r="L291">
        <f t="shared" si="209"/>
        <v>9.35</v>
      </c>
      <c r="M291">
        <f>IF(V291="","",IFERROR(VLOOKUP(TRIM($V291),KEY!$B$2:$F$72,5,FALSE),""))</f>
        <v>35</v>
      </c>
      <c r="N291">
        <f t="shared" si="210"/>
        <v>9</v>
      </c>
      <c r="O291" t="str">
        <f t="shared" si="211"/>
        <v>Mazda-1</v>
      </c>
      <c r="P291">
        <f t="shared" si="212"/>
        <v>1</v>
      </c>
      <c r="Q291">
        <f t="shared" si="213"/>
        <v>1.01</v>
      </c>
      <c r="R291">
        <f t="shared" si="214"/>
        <v>1</v>
      </c>
      <c r="S291">
        <f t="shared" si="215"/>
        <v>1</v>
      </c>
      <c r="T291" t="str">
        <f>IF(V291="","",IFERROR(VLOOKUP(TRIM($V291),KEY!$B$2:$F$72,2,FALSE),""))</f>
        <v>Mazda</v>
      </c>
      <c r="V291" s="78" t="s">
        <v>184</v>
      </c>
      <c r="W291" s="78">
        <v>22</v>
      </c>
      <c r="X291" s="78">
        <v>2</v>
      </c>
      <c r="Y291" s="78">
        <v>9</v>
      </c>
      <c r="Z291" s="78">
        <v>0</v>
      </c>
      <c r="AA291" s="78">
        <v>2</v>
      </c>
      <c r="AB291" s="78">
        <v>0</v>
      </c>
      <c r="AC291" s="78">
        <v>0</v>
      </c>
      <c r="AD291" s="78">
        <v>2</v>
      </c>
      <c r="AE291" s="78">
        <v>9</v>
      </c>
      <c r="AF291" s="78">
        <v>0</v>
      </c>
      <c r="AG291" s="78">
        <v>0</v>
      </c>
      <c r="AH291" s="78">
        <v>20</v>
      </c>
      <c r="AI291" s="78">
        <v>91</v>
      </c>
      <c r="AJ291" s="78">
        <v>0</v>
      </c>
      <c r="AK291" s="78">
        <v>0</v>
      </c>
      <c r="AL291" s="78">
        <v>0</v>
      </c>
      <c r="AM291" s="78">
        <v>0</v>
      </c>
    </row>
    <row r="292" spans="2:39" x14ac:dyDescent="0.35">
      <c r="B292" t="str">
        <f t="shared" si="200"/>
        <v>Southern California-3</v>
      </c>
      <c r="C292" t="str">
        <f t="shared" si="201"/>
        <v>Dec 2025-Southern California-3</v>
      </c>
      <c r="D292">
        <f t="shared" si="202"/>
        <v>3</v>
      </c>
      <c r="E292">
        <f t="shared" si="203"/>
        <v>3.03</v>
      </c>
      <c r="F292">
        <f t="shared" si="204"/>
        <v>3</v>
      </c>
      <c r="G292">
        <f t="shared" si="205"/>
        <v>3</v>
      </c>
      <c r="H292" t="str">
        <f>IF(V292="","",IFERROR(VLOOKUP(TRIM($V292),KEY!$B$2:$F$72,3,FALSE),""))</f>
        <v>Southern California</v>
      </c>
      <c r="I292" t="str">
        <f t="shared" si="206"/>
        <v>WEST-14</v>
      </c>
      <c r="J292" t="str">
        <f t="shared" si="207"/>
        <v>Mar 2026-WEST-14</v>
      </c>
      <c r="K292">
        <f t="shared" si="208"/>
        <v>14</v>
      </c>
      <c r="L292">
        <f t="shared" si="209"/>
        <v>14.14</v>
      </c>
      <c r="M292">
        <f>IF(V292="","",IFERROR(VLOOKUP(TRIM($V292),KEY!$B$2:$F$72,5,FALSE),""))</f>
        <v>14</v>
      </c>
      <c r="N292">
        <f t="shared" si="210"/>
        <v>14</v>
      </c>
      <c r="O292" t="str">
        <f t="shared" si="211"/>
        <v>BMW-3</v>
      </c>
      <c r="P292">
        <f t="shared" si="212"/>
        <v>3</v>
      </c>
      <c r="Q292">
        <f t="shared" si="213"/>
        <v>3.04</v>
      </c>
      <c r="R292">
        <f t="shared" si="214"/>
        <v>4</v>
      </c>
      <c r="S292">
        <f t="shared" si="215"/>
        <v>3</v>
      </c>
      <c r="T292" t="str">
        <f>IF(V292="","",IFERROR(VLOOKUP(TRIM($V292),KEY!$B$2:$F$72,2,FALSE),""))</f>
        <v>BMW</v>
      </c>
      <c r="V292" s="78" t="s">
        <v>185</v>
      </c>
      <c r="W292" s="78">
        <v>17</v>
      </c>
      <c r="X292" s="78">
        <v>1</v>
      </c>
      <c r="Y292" s="78">
        <v>6</v>
      </c>
      <c r="Z292" s="78">
        <v>0</v>
      </c>
      <c r="AA292" s="78">
        <v>1</v>
      </c>
      <c r="AB292" s="78">
        <v>0</v>
      </c>
      <c r="AC292" s="78">
        <v>0</v>
      </c>
      <c r="AD292" s="78">
        <v>1</v>
      </c>
      <c r="AE292" s="78">
        <v>6</v>
      </c>
      <c r="AF292" s="78">
        <v>5</v>
      </c>
      <c r="AG292" s="78">
        <v>0</v>
      </c>
      <c r="AH292" s="78">
        <v>11</v>
      </c>
      <c r="AI292" s="78">
        <v>94</v>
      </c>
      <c r="AJ292" s="78">
        <v>0</v>
      </c>
      <c r="AK292" s="78">
        <v>0</v>
      </c>
      <c r="AL292" s="78">
        <v>0</v>
      </c>
      <c r="AM292" s="78">
        <v>0</v>
      </c>
    </row>
    <row r="293" spans="2:39" x14ac:dyDescent="0.35">
      <c r="B293" t="str">
        <f t="shared" si="200"/>
        <v>Southern California-2</v>
      </c>
      <c r="C293" t="str">
        <f t="shared" si="201"/>
        <v>Dec 2025-Southern California-2</v>
      </c>
      <c r="D293">
        <f t="shared" si="202"/>
        <v>2</v>
      </c>
      <c r="E293">
        <f t="shared" si="203"/>
        <v>2.04</v>
      </c>
      <c r="F293">
        <f t="shared" si="204"/>
        <v>4</v>
      </c>
      <c r="G293">
        <f t="shared" si="205"/>
        <v>2</v>
      </c>
      <c r="H293" t="str">
        <f>IF(V293="","",IFERROR(VLOOKUP(TRIM($V293),KEY!$B$2:$F$72,3,FALSE),""))</f>
        <v>Southern California</v>
      </c>
      <c r="I293" t="str">
        <f t="shared" si="206"/>
        <v>WEST-10</v>
      </c>
      <c r="J293" t="str">
        <f t="shared" si="207"/>
        <v>Mar 2026-WEST-10</v>
      </c>
      <c r="K293">
        <f t="shared" si="208"/>
        <v>10</v>
      </c>
      <c r="L293">
        <f t="shared" si="209"/>
        <v>10.16</v>
      </c>
      <c r="M293">
        <f>IF(V293="","",IFERROR(VLOOKUP(TRIM($V293),KEY!$B$2:$F$72,5,FALSE),""))</f>
        <v>16</v>
      </c>
      <c r="N293">
        <f t="shared" si="210"/>
        <v>10</v>
      </c>
      <c r="O293" t="str">
        <f t="shared" si="211"/>
        <v>BMW-3</v>
      </c>
      <c r="P293">
        <f t="shared" si="212"/>
        <v>3</v>
      </c>
      <c r="Q293">
        <f t="shared" si="213"/>
        <v>3.06</v>
      </c>
      <c r="R293">
        <f t="shared" si="214"/>
        <v>6</v>
      </c>
      <c r="S293">
        <f t="shared" si="215"/>
        <v>3</v>
      </c>
      <c r="T293" t="str">
        <f>IF(V293="","",IFERROR(VLOOKUP(TRIM($V293),KEY!$B$2:$F$72,2,FALSE),""))</f>
        <v>BMW</v>
      </c>
      <c r="V293" s="78" t="s">
        <v>186</v>
      </c>
      <c r="W293" s="78">
        <v>48</v>
      </c>
      <c r="X293" s="78">
        <v>4</v>
      </c>
      <c r="Y293" s="78">
        <v>8</v>
      </c>
      <c r="Z293" s="78">
        <v>0</v>
      </c>
      <c r="AA293" s="78">
        <v>4</v>
      </c>
      <c r="AB293" s="78">
        <v>0</v>
      </c>
      <c r="AC293" s="78">
        <v>0</v>
      </c>
      <c r="AD293" s="78">
        <v>4</v>
      </c>
      <c r="AE293" s="78">
        <v>8</v>
      </c>
      <c r="AF293" s="78">
        <v>0</v>
      </c>
      <c r="AG293" s="78">
        <v>0</v>
      </c>
      <c r="AH293" s="78">
        <v>44</v>
      </c>
      <c r="AI293" s="78">
        <v>92</v>
      </c>
      <c r="AJ293" s="78">
        <v>0</v>
      </c>
      <c r="AK293" s="78">
        <v>0</v>
      </c>
      <c r="AL293" s="78">
        <v>0</v>
      </c>
      <c r="AM293" s="78">
        <v>0</v>
      </c>
    </row>
    <row r="294" spans="2:39" x14ac:dyDescent="0.35">
      <c r="B294" t="str">
        <f t="shared" si="200"/>
        <v>Southern California-5</v>
      </c>
      <c r="C294" t="str">
        <f t="shared" si="201"/>
        <v>Dec 2025-Southern California-5</v>
      </c>
      <c r="D294">
        <f t="shared" si="202"/>
        <v>5</v>
      </c>
      <c r="E294">
        <f t="shared" si="203"/>
        <v>5.09</v>
      </c>
      <c r="F294">
        <f t="shared" si="204"/>
        <v>9</v>
      </c>
      <c r="G294">
        <f t="shared" si="205"/>
        <v>5</v>
      </c>
      <c r="H294" t="str">
        <f>IF(V294="","",IFERROR(VLOOKUP(TRIM($V294),KEY!$B$2:$F$72,3,FALSE),""))</f>
        <v>Southern California</v>
      </c>
      <c r="I294" t="str">
        <f t="shared" si="206"/>
        <v>WEST-18</v>
      </c>
      <c r="J294" t="str">
        <f t="shared" si="207"/>
        <v>Mar 2026-WEST-18</v>
      </c>
      <c r="K294">
        <f t="shared" si="208"/>
        <v>18</v>
      </c>
      <c r="L294">
        <f t="shared" si="209"/>
        <v>17.38</v>
      </c>
      <c r="M294">
        <f>IF(V294="","",IFERROR(VLOOKUP(TRIM($V294),KEY!$B$2:$F$72,5,FALSE),""))</f>
        <v>38</v>
      </c>
      <c r="N294">
        <f t="shared" si="210"/>
        <v>17</v>
      </c>
      <c r="O294" t="str">
        <f t="shared" si="211"/>
        <v>Mercedes-Benz-4</v>
      </c>
      <c r="P294">
        <f t="shared" si="212"/>
        <v>4</v>
      </c>
      <c r="Q294">
        <f t="shared" si="213"/>
        <v>4.03</v>
      </c>
      <c r="R294">
        <f t="shared" si="214"/>
        <v>3</v>
      </c>
      <c r="S294">
        <f t="shared" si="215"/>
        <v>4</v>
      </c>
      <c r="T294" t="str">
        <f>IF(V294="","",IFERROR(VLOOKUP(TRIM($V294),KEY!$B$2:$F$72,2,FALSE),""))</f>
        <v>Mercedes-Benz</v>
      </c>
      <c r="V294" s="78" t="s">
        <v>187</v>
      </c>
      <c r="W294" s="78">
        <v>37</v>
      </c>
      <c r="X294" s="78">
        <v>2</v>
      </c>
      <c r="Y294" s="78">
        <v>5</v>
      </c>
      <c r="Z294" s="78">
        <v>0</v>
      </c>
      <c r="AA294" s="78">
        <v>2</v>
      </c>
      <c r="AB294" s="78">
        <v>0</v>
      </c>
      <c r="AC294" s="78">
        <v>1</v>
      </c>
      <c r="AD294" s="78">
        <v>3</v>
      </c>
      <c r="AE294" s="78">
        <v>8</v>
      </c>
      <c r="AF294" s="78">
        <v>5</v>
      </c>
      <c r="AG294" s="78">
        <v>0</v>
      </c>
      <c r="AH294" s="78">
        <v>29</v>
      </c>
      <c r="AI294" s="78">
        <v>92</v>
      </c>
      <c r="AJ294" s="78">
        <v>0</v>
      </c>
      <c r="AK294" s="78">
        <v>0</v>
      </c>
      <c r="AL294" s="78">
        <v>0</v>
      </c>
      <c r="AM294" s="78">
        <v>0</v>
      </c>
    </row>
    <row r="295" spans="2:39" x14ac:dyDescent="0.35">
      <c r="B295" t="str">
        <f t="shared" si="200"/>
        <v>Southern California-4</v>
      </c>
      <c r="C295" t="str">
        <f t="shared" si="201"/>
        <v>Dec 2025-Southern California-4</v>
      </c>
      <c r="D295">
        <f t="shared" si="202"/>
        <v>4</v>
      </c>
      <c r="E295">
        <f t="shared" si="203"/>
        <v>3.07</v>
      </c>
      <c r="F295">
        <f t="shared" si="204"/>
        <v>7</v>
      </c>
      <c r="G295">
        <f t="shared" si="205"/>
        <v>3</v>
      </c>
      <c r="H295" t="str">
        <f>IF(V295="","",IFERROR(VLOOKUP(TRIM($V295),KEY!$B$2:$F$72,3,FALSE),""))</f>
        <v>Southern California</v>
      </c>
      <c r="I295" t="str">
        <f t="shared" si="206"/>
        <v>WEST-16</v>
      </c>
      <c r="J295" t="str">
        <f t="shared" si="207"/>
        <v>Mar 2026-WEST-16</v>
      </c>
      <c r="K295">
        <f t="shared" si="208"/>
        <v>16</v>
      </c>
      <c r="L295">
        <f t="shared" si="209"/>
        <v>14.33</v>
      </c>
      <c r="M295">
        <f>IF(V295="","",IFERROR(VLOOKUP(TRIM($V295),KEY!$B$2:$F$72,5,FALSE),""))</f>
        <v>33</v>
      </c>
      <c r="N295">
        <f t="shared" si="210"/>
        <v>14</v>
      </c>
      <c r="O295" t="str">
        <f t="shared" si="211"/>
        <v>Lexus-2</v>
      </c>
      <c r="P295">
        <f t="shared" si="212"/>
        <v>2</v>
      </c>
      <c r="Q295">
        <f t="shared" si="213"/>
        <v>1.04</v>
      </c>
      <c r="R295">
        <f t="shared" si="214"/>
        <v>4</v>
      </c>
      <c r="S295">
        <f t="shared" si="215"/>
        <v>1</v>
      </c>
      <c r="T295" t="str">
        <f>IF(V295="","",IFERROR(VLOOKUP(TRIM($V295),KEY!$B$2:$F$72,2,FALSE),""))</f>
        <v>Lexus</v>
      </c>
      <c r="V295" s="78" t="s">
        <v>182</v>
      </c>
      <c r="W295" s="78">
        <v>18</v>
      </c>
      <c r="X295" s="78">
        <v>1</v>
      </c>
      <c r="Y295" s="78">
        <v>6</v>
      </c>
      <c r="Z295" s="78">
        <v>0</v>
      </c>
      <c r="AA295" s="78">
        <v>1</v>
      </c>
      <c r="AB295" s="78">
        <v>0</v>
      </c>
      <c r="AC295" s="78">
        <v>0</v>
      </c>
      <c r="AD295" s="78">
        <v>1</v>
      </c>
      <c r="AE295" s="78">
        <v>6</v>
      </c>
      <c r="AF295" s="78">
        <v>0</v>
      </c>
      <c r="AG295" s="78">
        <v>0</v>
      </c>
      <c r="AH295" s="78">
        <v>17</v>
      </c>
      <c r="AI295" s="78">
        <v>94</v>
      </c>
      <c r="AJ295" s="78">
        <v>0</v>
      </c>
      <c r="AK295" s="78">
        <v>0</v>
      </c>
      <c r="AL295" s="78">
        <v>0</v>
      </c>
      <c r="AM295" s="78">
        <v>0</v>
      </c>
    </row>
    <row r="296" spans="2:39" x14ac:dyDescent="0.35">
      <c r="B296" t="str">
        <f t="shared" si="200"/>
        <v>Southern California-7</v>
      </c>
      <c r="C296" t="str">
        <f t="shared" si="201"/>
        <v>Dec 2025-Southern California-7</v>
      </c>
      <c r="D296">
        <f t="shared" si="202"/>
        <v>7</v>
      </c>
      <c r="E296">
        <f t="shared" si="203"/>
        <v>6.02</v>
      </c>
      <c r="F296">
        <f t="shared" si="204"/>
        <v>2</v>
      </c>
      <c r="G296">
        <f t="shared" si="205"/>
        <v>6</v>
      </c>
      <c r="H296" t="str">
        <f>IF(V296="","",IFERROR(VLOOKUP(TRIM($V296),KEY!$B$2:$F$72,3,FALSE),""))</f>
        <v>Southern California</v>
      </c>
      <c r="I296" t="str">
        <f t="shared" si="206"/>
        <v>WEST-22</v>
      </c>
      <c r="J296" t="str">
        <f t="shared" si="207"/>
        <v>Mar 2026-WEST-22</v>
      </c>
      <c r="K296">
        <f>IFERROR(IF(V296="","",RANK(L296,$L$256:$L$325,1)),"-")</f>
        <v>22</v>
      </c>
      <c r="L296">
        <f>IFERROR(IF(V296="","",N296+(M296/100)),"-")</f>
        <v>20.04</v>
      </c>
      <c r="M296">
        <f>IF(V296="","",IFERROR(VLOOKUP(TRIM($V296),KEY!$B$2:$F$72,5,FALSE),""))</f>
        <v>4</v>
      </c>
      <c r="N296">
        <f t="shared" si="210"/>
        <v>20</v>
      </c>
      <c r="O296" t="str">
        <f t="shared" si="211"/>
        <v>Audi-4</v>
      </c>
      <c r="P296">
        <f t="shared" si="212"/>
        <v>4</v>
      </c>
      <c r="Q296">
        <f t="shared" si="213"/>
        <v>4.0199999999999996</v>
      </c>
      <c r="R296">
        <f t="shared" si="214"/>
        <v>2</v>
      </c>
      <c r="S296">
        <f t="shared" si="215"/>
        <v>4</v>
      </c>
      <c r="T296" t="str">
        <f>IF(V296="","",IFERROR(VLOOKUP(TRIM($V296),KEY!$B$2:$F$72,2,FALSE),""))</f>
        <v>Audi</v>
      </c>
      <c r="V296" s="78" t="s">
        <v>188</v>
      </c>
      <c r="W296" s="78">
        <v>21</v>
      </c>
      <c r="X296" s="78">
        <v>0</v>
      </c>
      <c r="Y296" s="78">
        <v>0</v>
      </c>
      <c r="Z296" s="78">
        <v>0</v>
      </c>
      <c r="AA296" s="78">
        <v>0</v>
      </c>
      <c r="AB296" s="78">
        <v>0</v>
      </c>
      <c r="AC296" s="78">
        <v>1</v>
      </c>
      <c r="AD296" s="78">
        <v>1</v>
      </c>
      <c r="AE296" s="78">
        <v>5</v>
      </c>
      <c r="AF296" s="78">
        <v>0</v>
      </c>
      <c r="AG296" s="78">
        <v>0</v>
      </c>
      <c r="AH296" s="78">
        <v>20</v>
      </c>
      <c r="AI296" s="78">
        <v>95</v>
      </c>
      <c r="AJ296" s="78">
        <v>0</v>
      </c>
      <c r="AK296" s="78">
        <v>0</v>
      </c>
      <c r="AL296" s="78">
        <v>0</v>
      </c>
      <c r="AM296" s="78">
        <v>0</v>
      </c>
    </row>
    <row r="297" spans="2:39" x14ac:dyDescent="0.35">
      <c r="B297" t="str">
        <f t="shared" si="200"/>
        <v>Southern California-10</v>
      </c>
      <c r="C297" t="str">
        <f t="shared" si="201"/>
        <v>Dec 2025-Southern California-10</v>
      </c>
      <c r="D297">
        <f t="shared" si="202"/>
        <v>10</v>
      </c>
      <c r="E297">
        <f t="shared" si="203"/>
        <v>6.1</v>
      </c>
      <c r="F297">
        <f t="shared" si="204"/>
        <v>10</v>
      </c>
      <c r="G297">
        <f t="shared" si="205"/>
        <v>6</v>
      </c>
      <c r="H297" t="str">
        <f>IF(V297="","",IFERROR(VLOOKUP(TRIM($V297),KEY!$B$2:$F$72,3,FALSE),""))</f>
        <v>Southern California</v>
      </c>
      <c r="I297" t="str">
        <f t="shared" si="206"/>
        <v>WEST-41</v>
      </c>
      <c r="J297" t="str">
        <f t="shared" si="207"/>
        <v>Mar 2026-WEST-41</v>
      </c>
      <c r="K297">
        <f t="shared" si="208"/>
        <v>41</v>
      </c>
      <c r="L297">
        <f t="shared" si="209"/>
        <v>20.43</v>
      </c>
      <c r="M297">
        <f>IF(V297="","",IFERROR(VLOOKUP(TRIM($V297),KEY!$B$2:$F$72,5,FALSE),""))</f>
        <v>43</v>
      </c>
      <c r="N297">
        <f t="shared" si="210"/>
        <v>20</v>
      </c>
      <c r="O297" t="str">
        <f t="shared" si="211"/>
        <v>MINI-2</v>
      </c>
      <c r="P297">
        <f t="shared" si="212"/>
        <v>2</v>
      </c>
      <c r="Q297">
        <f t="shared" si="213"/>
        <v>1.05</v>
      </c>
      <c r="R297">
        <f t="shared" si="214"/>
        <v>5</v>
      </c>
      <c r="S297">
        <f t="shared" si="215"/>
        <v>1</v>
      </c>
      <c r="T297" t="str">
        <f>IF(V297="","",IFERROR(VLOOKUP(TRIM($V297),KEY!$B$2:$F$72,2,FALSE),""))</f>
        <v>MINI</v>
      </c>
      <c r="V297" s="78" t="s">
        <v>189</v>
      </c>
      <c r="W297" s="78">
        <v>5</v>
      </c>
      <c r="X297" s="78">
        <v>0</v>
      </c>
      <c r="Y297" s="78">
        <v>0</v>
      </c>
      <c r="Z297" s="78">
        <v>0</v>
      </c>
      <c r="AA297" s="78">
        <v>0</v>
      </c>
      <c r="AB297" s="78">
        <v>0</v>
      </c>
      <c r="AC297" s="78">
        <v>0</v>
      </c>
      <c r="AD297" s="78">
        <v>0</v>
      </c>
      <c r="AE297" s="78">
        <v>0</v>
      </c>
      <c r="AF297" s="78">
        <v>5</v>
      </c>
      <c r="AG297" s="78">
        <v>0</v>
      </c>
      <c r="AH297" s="78">
        <v>0</v>
      </c>
      <c r="AI297" s="78">
        <v>100</v>
      </c>
      <c r="AJ297" s="78">
        <v>0</v>
      </c>
      <c r="AK297" s="78">
        <v>0</v>
      </c>
      <c r="AL297" s="78">
        <v>0</v>
      </c>
      <c r="AM297" s="78">
        <v>0</v>
      </c>
    </row>
    <row r="298" spans="2:39" x14ac:dyDescent="0.35">
      <c r="B298" t="str">
        <f t="shared" si="200"/>
        <v>Texas-7</v>
      </c>
      <c r="C298" t="str">
        <f t="shared" si="201"/>
        <v>Dec 2025-Texas-7</v>
      </c>
      <c r="D298">
        <f t="shared" si="202"/>
        <v>7</v>
      </c>
      <c r="E298">
        <f t="shared" si="203"/>
        <v>3.07</v>
      </c>
      <c r="F298">
        <f t="shared" si="204"/>
        <v>7</v>
      </c>
      <c r="G298">
        <f t="shared" si="205"/>
        <v>3</v>
      </c>
      <c r="H298" t="str">
        <f>IF(V298="","",IFERROR(VLOOKUP(TRIM($V298),KEY!$B$2:$F$72,3,FALSE),""))</f>
        <v>Texas</v>
      </c>
      <c r="I298" t="str">
        <f t="shared" si="206"/>
        <v>WEST-48</v>
      </c>
      <c r="J298" t="str">
        <f t="shared" si="207"/>
        <v>Mar 2026-WEST-48</v>
      </c>
      <c r="K298">
        <f t="shared" si="208"/>
        <v>48</v>
      </c>
      <c r="L298">
        <f t="shared" si="209"/>
        <v>20.52</v>
      </c>
      <c r="M298">
        <f>IF(V298="","",IFERROR(VLOOKUP(TRIM($V298),KEY!$B$2:$F$72,5,FALSE),""))</f>
        <v>52</v>
      </c>
      <c r="N298">
        <f t="shared" si="210"/>
        <v>20</v>
      </c>
      <c r="O298" t="str">
        <f t="shared" si="211"/>
        <v>Honda-3</v>
      </c>
      <c r="P298">
        <f t="shared" si="212"/>
        <v>3</v>
      </c>
      <c r="Q298">
        <f t="shared" si="213"/>
        <v>2.06</v>
      </c>
      <c r="R298">
        <f t="shared" si="214"/>
        <v>6</v>
      </c>
      <c r="S298">
        <f t="shared" si="215"/>
        <v>2</v>
      </c>
      <c r="T298" t="str">
        <f>IF(V298="","",IFERROR(VLOOKUP(TRIM($V298),KEY!$B$2:$F$72,2,FALSE),""))</f>
        <v>Honda</v>
      </c>
      <c r="V298" s="78" t="s">
        <v>190</v>
      </c>
      <c r="W298" s="78">
        <v>27</v>
      </c>
      <c r="X298" s="78">
        <v>0</v>
      </c>
      <c r="Y298" s="78">
        <v>0</v>
      </c>
      <c r="Z298" s="78">
        <v>0</v>
      </c>
      <c r="AA298" s="78">
        <v>0</v>
      </c>
      <c r="AB298" s="78">
        <v>0</v>
      </c>
      <c r="AC298" s="78">
        <v>0</v>
      </c>
      <c r="AD298" s="78">
        <v>0</v>
      </c>
      <c r="AE298" s="78">
        <v>0</v>
      </c>
      <c r="AF298" s="78">
        <v>0</v>
      </c>
      <c r="AG298" s="78">
        <v>0</v>
      </c>
      <c r="AH298" s="78">
        <v>27</v>
      </c>
      <c r="AI298" s="78">
        <v>100</v>
      </c>
      <c r="AJ298" s="78">
        <v>0</v>
      </c>
      <c r="AK298" s="78">
        <v>0</v>
      </c>
      <c r="AL298" s="78">
        <v>0</v>
      </c>
      <c r="AM298" s="78">
        <v>0</v>
      </c>
    </row>
    <row r="299" spans="2:39" x14ac:dyDescent="0.35">
      <c r="B299" t="str">
        <f t="shared" si="200"/>
        <v>Texas-4</v>
      </c>
      <c r="C299" t="str">
        <f t="shared" si="201"/>
        <v>Dec 2025-Texas-4</v>
      </c>
      <c r="D299">
        <f t="shared" si="202"/>
        <v>4</v>
      </c>
      <c r="E299">
        <f t="shared" si="203"/>
        <v>3.03</v>
      </c>
      <c r="F299">
        <f t="shared" si="204"/>
        <v>3</v>
      </c>
      <c r="G299">
        <f t="shared" si="205"/>
        <v>3</v>
      </c>
      <c r="H299" t="str">
        <f>IF(V299="","",IFERROR(VLOOKUP(TRIM($V299),KEY!$B$2:$F$72,3,FALSE),""))</f>
        <v>Texas</v>
      </c>
      <c r="I299" t="str">
        <f t="shared" si="206"/>
        <v>WEST-31</v>
      </c>
      <c r="J299" t="str">
        <f t="shared" si="207"/>
        <v>Mar 2026-WEST-31</v>
      </c>
      <c r="K299">
        <f t="shared" si="208"/>
        <v>31</v>
      </c>
      <c r="L299">
        <f t="shared" si="209"/>
        <v>20.23</v>
      </c>
      <c r="M299">
        <f>IF(V299="","",IFERROR(VLOOKUP(TRIM($V299),KEY!$B$2:$F$72,5,FALSE),""))</f>
        <v>23</v>
      </c>
      <c r="N299">
        <f t="shared" si="210"/>
        <v>20</v>
      </c>
      <c r="O299" t="str">
        <f t="shared" si="211"/>
        <v>Honda-2</v>
      </c>
      <c r="P299">
        <f t="shared" si="212"/>
        <v>2</v>
      </c>
      <c r="Q299">
        <f t="shared" si="213"/>
        <v>2.02</v>
      </c>
      <c r="R299">
        <f t="shared" si="214"/>
        <v>2</v>
      </c>
      <c r="S299">
        <f t="shared" si="215"/>
        <v>2</v>
      </c>
      <c r="T299" t="str">
        <f>IF(V299="","",IFERROR(VLOOKUP(TRIM($V299),KEY!$B$2:$F$72,2,FALSE),""))</f>
        <v>Honda</v>
      </c>
      <c r="V299" s="78" t="s">
        <v>191</v>
      </c>
      <c r="W299" s="78">
        <v>20</v>
      </c>
      <c r="X299" s="78">
        <v>0</v>
      </c>
      <c r="Y299" s="78">
        <v>0</v>
      </c>
      <c r="Z299" s="78">
        <v>1</v>
      </c>
      <c r="AA299" s="78">
        <v>0</v>
      </c>
      <c r="AB299" s="78">
        <v>0</v>
      </c>
      <c r="AC299" s="78">
        <v>0</v>
      </c>
      <c r="AD299" s="78">
        <v>1</v>
      </c>
      <c r="AE299" s="78">
        <v>5</v>
      </c>
      <c r="AF299" s="78">
        <v>4</v>
      </c>
      <c r="AG299" s="78">
        <v>4</v>
      </c>
      <c r="AH299" s="78">
        <v>9</v>
      </c>
      <c r="AI299" s="78">
        <v>85</v>
      </c>
      <c r="AJ299" s="78">
        <v>1</v>
      </c>
      <c r="AK299" s="78">
        <v>1</v>
      </c>
      <c r="AL299" s="78">
        <v>0</v>
      </c>
      <c r="AM299" s="78">
        <v>10</v>
      </c>
    </row>
    <row r="300" spans="2:39" x14ac:dyDescent="0.35">
      <c r="B300" t="str">
        <f t="shared" si="200"/>
        <v>Texas-5</v>
      </c>
      <c r="C300" t="str">
        <f t="shared" si="201"/>
        <v>Dec 2025-Texas-5</v>
      </c>
      <c r="D300">
        <f t="shared" si="202"/>
        <v>5</v>
      </c>
      <c r="E300">
        <f t="shared" si="203"/>
        <v>3.04</v>
      </c>
      <c r="F300">
        <f t="shared" si="204"/>
        <v>4</v>
      </c>
      <c r="G300">
        <f t="shared" si="205"/>
        <v>3</v>
      </c>
      <c r="H300" t="str">
        <f>IF(V300="","",IFERROR(VLOOKUP(TRIM($V300),KEY!$B$2:$F$72,3,FALSE),""))</f>
        <v>Texas</v>
      </c>
      <c r="I300" t="str">
        <f t="shared" si="206"/>
        <v>WEST-35</v>
      </c>
      <c r="J300" t="str">
        <f t="shared" si="207"/>
        <v>Mar 2026-WEST-35</v>
      </c>
      <c r="K300">
        <f t="shared" si="208"/>
        <v>35</v>
      </c>
      <c r="L300">
        <f t="shared" si="209"/>
        <v>20.3</v>
      </c>
      <c r="M300">
        <f>IF(V300="","",IFERROR(VLOOKUP(TRIM($V300),KEY!$B$2:$F$72,5,FALSE),""))</f>
        <v>30</v>
      </c>
      <c r="N300">
        <f t="shared" si="210"/>
        <v>20</v>
      </c>
      <c r="O300" t="str">
        <f t="shared" si="211"/>
        <v>Lexus-1</v>
      </c>
      <c r="P300">
        <f t="shared" si="212"/>
        <v>1</v>
      </c>
      <c r="Q300">
        <f t="shared" si="213"/>
        <v>1.01</v>
      </c>
      <c r="R300">
        <f t="shared" si="214"/>
        <v>1</v>
      </c>
      <c r="S300">
        <f t="shared" si="215"/>
        <v>1</v>
      </c>
      <c r="T300" t="str">
        <f>IF(V300="","",IFERROR(VLOOKUP(TRIM($V300),KEY!$B$2:$F$72,2,FALSE),""))</f>
        <v>Lexus</v>
      </c>
      <c r="V300" s="78" t="s">
        <v>192</v>
      </c>
      <c r="W300" s="78">
        <v>28</v>
      </c>
      <c r="X300" s="78">
        <v>0</v>
      </c>
      <c r="Y300" s="78">
        <v>0</v>
      </c>
      <c r="Z300" s="78">
        <v>0</v>
      </c>
      <c r="AA300" s="78">
        <v>0</v>
      </c>
      <c r="AB300" s="78">
        <v>0</v>
      </c>
      <c r="AC300" s="78">
        <v>0</v>
      </c>
      <c r="AD300" s="78">
        <v>0</v>
      </c>
      <c r="AE300" s="78">
        <v>0</v>
      </c>
      <c r="AF300" s="78">
        <v>0</v>
      </c>
      <c r="AG300" s="78">
        <v>0</v>
      </c>
      <c r="AH300" s="78">
        <v>28</v>
      </c>
      <c r="AI300" s="78">
        <v>100</v>
      </c>
      <c r="AJ300" s="78">
        <v>0</v>
      </c>
      <c r="AK300" s="78">
        <v>0</v>
      </c>
      <c r="AL300" s="78">
        <v>0</v>
      </c>
      <c r="AM300" s="78">
        <v>0</v>
      </c>
    </row>
    <row r="301" spans="2:39" x14ac:dyDescent="0.35">
      <c r="B301" t="str">
        <f t="shared" si="200"/>
        <v>Texas-2</v>
      </c>
      <c r="C301" t="str">
        <f t="shared" si="201"/>
        <v>Dec 2025-Texas-2</v>
      </c>
      <c r="D301">
        <f t="shared" si="202"/>
        <v>2</v>
      </c>
      <c r="E301">
        <f t="shared" si="203"/>
        <v>2.0499999999999998</v>
      </c>
      <c r="F301">
        <f t="shared" si="204"/>
        <v>5</v>
      </c>
      <c r="G301">
        <f t="shared" si="205"/>
        <v>2</v>
      </c>
      <c r="H301" t="str">
        <f>IF(V301="","",IFERROR(VLOOKUP(TRIM($V301),KEY!$B$2:$F$72,3,FALSE),""))</f>
        <v>Texas</v>
      </c>
      <c r="I301" t="str">
        <f t="shared" si="206"/>
        <v>WEST-6</v>
      </c>
      <c r="J301" t="str">
        <f t="shared" si="207"/>
        <v>Mar 2026-WEST-6</v>
      </c>
      <c r="K301">
        <f t="shared" si="208"/>
        <v>6</v>
      </c>
      <c r="L301">
        <f t="shared" si="209"/>
        <v>6.32</v>
      </c>
      <c r="M301">
        <f>IF(V301="","",IFERROR(VLOOKUP(TRIM($V301),KEY!$B$2:$F$72,5,FALSE),""))</f>
        <v>32</v>
      </c>
      <c r="N301">
        <f t="shared" si="210"/>
        <v>6</v>
      </c>
      <c r="O301" t="str">
        <f t="shared" si="211"/>
        <v>Lexus-1</v>
      </c>
      <c r="P301">
        <f t="shared" si="212"/>
        <v>1</v>
      </c>
      <c r="Q301">
        <f t="shared" si="213"/>
        <v>1.03</v>
      </c>
      <c r="R301">
        <f t="shared" si="214"/>
        <v>3</v>
      </c>
      <c r="S301">
        <f t="shared" si="215"/>
        <v>1</v>
      </c>
      <c r="T301" t="str">
        <f>IF(V301="","",IFERROR(VLOOKUP(TRIM($V301),KEY!$B$2:$F$72,2,FALSE),""))</f>
        <v>Lexus</v>
      </c>
      <c r="V301" s="78" t="s">
        <v>193</v>
      </c>
      <c r="W301" s="78">
        <v>11</v>
      </c>
      <c r="X301" s="78">
        <v>2</v>
      </c>
      <c r="Y301" s="78">
        <v>18</v>
      </c>
      <c r="Z301" s="78">
        <v>0</v>
      </c>
      <c r="AA301" s="78">
        <v>2</v>
      </c>
      <c r="AB301" s="78">
        <v>0</v>
      </c>
      <c r="AC301" s="78">
        <v>0</v>
      </c>
      <c r="AD301" s="78">
        <v>2</v>
      </c>
      <c r="AE301" s="78">
        <v>18</v>
      </c>
      <c r="AF301" s="78">
        <v>9</v>
      </c>
      <c r="AG301" s="78">
        <v>0</v>
      </c>
      <c r="AH301" s="78">
        <v>0</v>
      </c>
      <c r="AI301" s="78">
        <v>82</v>
      </c>
      <c r="AJ301" s="78">
        <v>0</v>
      </c>
      <c r="AK301" s="78">
        <v>0</v>
      </c>
      <c r="AL301" s="78">
        <v>0</v>
      </c>
      <c r="AM301" s="78">
        <v>0</v>
      </c>
    </row>
    <row r="302" spans="2:39" x14ac:dyDescent="0.35">
      <c r="B302" t="str">
        <f t="shared" si="200"/>
        <v>Texas-9</v>
      </c>
      <c r="C302" t="str">
        <f t="shared" si="201"/>
        <v>Dec 2025-Texas-9</v>
      </c>
      <c r="D302">
        <f t="shared" si="202"/>
        <v>9</v>
      </c>
      <c r="E302">
        <f t="shared" si="203"/>
        <v>3.09</v>
      </c>
      <c r="F302">
        <f t="shared" si="204"/>
        <v>9</v>
      </c>
      <c r="G302">
        <f t="shared" si="205"/>
        <v>3</v>
      </c>
      <c r="H302" t="str">
        <f>IF(V302="","",IFERROR(VLOOKUP(TRIM($V302),KEY!$B$2:$F$72,3,FALSE),""))</f>
        <v>Texas</v>
      </c>
      <c r="I302" t="str">
        <f t="shared" si="206"/>
        <v>WEST-50</v>
      </c>
      <c r="J302" t="str">
        <f t="shared" si="207"/>
        <v>Mar 2026-WEST-50</v>
      </c>
      <c r="K302">
        <f t="shared" si="208"/>
        <v>50</v>
      </c>
      <c r="L302">
        <f t="shared" si="209"/>
        <v>20.54</v>
      </c>
      <c r="M302">
        <f>IF(V302="","",IFERROR(VLOOKUP(TRIM($V302),KEY!$B$2:$F$72,5,FALSE),""))</f>
        <v>54</v>
      </c>
      <c r="N302">
        <f t="shared" si="210"/>
        <v>20</v>
      </c>
      <c r="O302" t="str">
        <f t="shared" si="211"/>
        <v>Toyota-4</v>
      </c>
      <c r="P302">
        <f t="shared" si="212"/>
        <v>4</v>
      </c>
      <c r="Q302">
        <f t="shared" si="213"/>
        <v>3.03</v>
      </c>
      <c r="R302">
        <f t="shared" si="214"/>
        <v>3</v>
      </c>
      <c r="S302">
        <f t="shared" si="215"/>
        <v>3</v>
      </c>
      <c r="T302" t="str">
        <f>IF(V302="","",IFERROR(VLOOKUP(TRIM($V302),KEY!$B$2:$F$72,2,FALSE),""))</f>
        <v>Toyota</v>
      </c>
      <c r="V302" s="78" t="s">
        <v>195</v>
      </c>
      <c r="W302" s="78">
        <v>12</v>
      </c>
      <c r="X302" s="78">
        <v>0</v>
      </c>
      <c r="Y302" s="78">
        <v>0</v>
      </c>
      <c r="Z302" s="78">
        <v>0</v>
      </c>
      <c r="AA302" s="78">
        <v>0</v>
      </c>
      <c r="AB302" s="78">
        <v>0</v>
      </c>
      <c r="AC302" s="78">
        <v>0</v>
      </c>
      <c r="AD302" s="78">
        <v>0</v>
      </c>
      <c r="AE302" s="78">
        <v>0</v>
      </c>
      <c r="AF302" s="78">
        <v>0</v>
      </c>
      <c r="AG302" s="78">
        <v>0</v>
      </c>
      <c r="AH302" s="78">
        <v>12</v>
      </c>
      <c r="AI302" s="78">
        <v>100</v>
      </c>
      <c r="AJ302" s="78">
        <v>0</v>
      </c>
      <c r="AK302" s="78">
        <v>0</v>
      </c>
      <c r="AL302" s="78">
        <v>0</v>
      </c>
      <c r="AM302" s="78">
        <v>0</v>
      </c>
    </row>
    <row r="303" spans="2:39" x14ac:dyDescent="0.35">
      <c r="B303" t="str">
        <f t="shared" si="200"/>
        <v>Texas-1</v>
      </c>
      <c r="C303" t="str">
        <f t="shared" si="201"/>
        <v>Dec 2025-Texas-1</v>
      </c>
      <c r="D303">
        <f t="shared" si="202"/>
        <v>1</v>
      </c>
      <c r="E303">
        <f t="shared" si="203"/>
        <v>1.01</v>
      </c>
      <c r="F303">
        <f t="shared" si="204"/>
        <v>1</v>
      </c>
      <c r="G303">
        <f t="shared" si="205"/>
        <v>1</v>
      </c>
      <c r="H303" t="str">
        <f>IF(V303="","",IFERROR(VLOOKUP(TRIM($V303),KEY!$B$2:$F$72,3,FALSE),""))</f>
        <v>Texas</v>
      </c>
      <c r="I303" t="str">
        <f t="shared" si="206"/>
        <v>WEST-3</v>
      </c>
      <c r="J303" t="str">
        <f t="shared" si="207"/>
        <v>Mar 2026-WEST-3</v>
      </c>
      <c r="K303">
        <f t="shared" si="208"/>
        <v>3</v>
      </c>
      <c r="L303">
        <f t="shared" si="209"/>
        <v>3.12</v>
      </c>
      <c r="M303">
        <f>IF(V303="","",IFERROR(VLOOKUP(TRIM($V303),KEY!$B$2:$F$72,5,FALSE),""))</f>
        <v>12</v>
      </c>
      <c r="N303">
        <f t="shared" si="210"/>
        <v>3</v>
      </c>
      <c r="O303" t="str">
        <f t="shared" si="211"/>
        <v>BMW-1</v>
      </c>
      <c r="P303">
        <f t="shared" si="212"/>
        <v>1</v>
      </c>
      <c r="Q303">
        <f t="shared" si="213"/>
        <v>1.02</v>
      </c>
      <c r="R303">
        <f t="shared" si="214"/>
        <v>2</v>
      </c>
      <c r="S303">
        <f t="shared" si="215"/>
        <v>1</v>
      </c>
      <c r="T303" t="str">
        <f>IF(V303="","",IFERROR(VLOOKUP(TRIM($V303),KEY!$B$2:$F$72,2,FALSE),""))</f>
        <v>BMW</v>
      </c>
      <c r="V303" s="78" t="s">
        <v>194</v>
      </c>
      <c r="W303" s="78">
        <v>44</v>
      </c>
      <c r="X303" s="78">
        <v>14</v>
      </c>
      <c r="Y303" s="78">
        <v>32</v>
      </c>
      <c r="Z303" s="78">
        <v>1</v>
      </c>
      <c r="AA303" s="78">
        <v>14</v>
      </c>
      <c r="AB303" s="78">
        <v>0</v>
      </c>
      <c r="AC303" s="78">
        <v>1</v>
      </c>
      <c r="AD303" s="78">
        <v>16</v>
      </c>
      <c r="AE303" s="78">
        <v>36</v>
      </c>
      <c r="AF303" s="78">
        <v>3</v>
      </c>
      <c r="AG303" s="78">
        <v>0</v>
      </c>
      <c r="AH303" s="78">
        <v>23</v>
      </c>
      <c r="AI303" s="78">
        <v>59</v>
      </c>
      <c r="AJ303" s="78">
        <v>0</v>
      </c>
      <c r="AK303" s="78">
        <v>2</v>
      </c>
      <c r="AL303" s="78">
        <v>0</v>
      </c>
      <c r="AM303" s="78">
        <v>5</v>
      </c>
    </row>
    <row r="304" spans="2:39" x14ac:dyDescent="0.35">
      <c r="B304" t="str">
        <f t="shared" si="200"/>
        <v>Texas-8</v>
      </c>
      <c r="C304" t="str">
        <f t="shared" si="201"/>
        <v>Dec 2025-Texas-8</v>
      </c>
      <c r="D304">
        <f t="shared" si="202"/>
        <v>8</v>
      </c>
      <c r="E304">
        <f t="shared" si="203"/>
        <v>3.08</v>
      </c>
      <c r="F304">
        <f t="shared" si="204"/>
        <v>8</v>
      </c>
      <c r="G304">
        <f t="shared" si="205"/>
        <v>3</v>
      </c>
      <c r="H304" t="str">
        <f>IF(V304="","",IFERROR(VLOOKUP(TRIM($V304),KEY!$B$2:$F$72,3,FALSE),""))</f>
        <v>Texas</v>
      </c>
      <c r="I304" t="str">
        <f t="shared" si="206"/>
        <v>WEST-49</v>
      </c>
      <c r="J304" t="str">
        <f t="shared" si="207"/>
        <v>Mar 2026-WEST-49</v>
      </c>
      <c r="K304">
        <f t="shared" si="208"/>
        <v>49</v>
      </c>
      <c r="L304">
        <f t="shared" si="209"/>
        <v>20.53</v>
      </c>
      <c r="M304">
        <f>IF(V304="","",IFERROR(VLOOKUP(TRIM($V304),KEY!$B$2:$F$72,5,FALSE),""))</f>
        <v>53</v>
      </c>
      <c r="N304">
        <f t="shared" si="210"/>
        <v>20</v>
      </c>
      <c r="O304" t="str">
        <f t="shared" si="211"/>
        <v>Hyundai-2</v>
      </c>
      <c r="P304">
        <f t="shared" si="212"/>
        <v>2</v>
      </c>
      <c r="Q304">
        <f t="shared" si="213"/>
        <v>2.0099999999999998</v>
      </c>
      <c r="R304">
        <f t="shared" si="214"/>
        <v>1</v>
      </c>
      <c r="S304">
        <f t="shared" si="215"/>
        <v>2</v>
      </c>
      <c r="T304" t="str">
        <f>IF(V304="","",IFERROR(VLOOKUP(TRIM($V304),KEY!$B$2:$F$72,2,FALSE),""))</f>
        <v>Hyundai</v>
      </c>
      <c r="V304" s="78" t="s">
        <v>196</v>
      </c>
      <c r="W304" s="78">
        <v>12</v>
      </c>
      <c r="X304" s="78">
        <v>0</v>
      </c>
      <c r="Y304" s="78">
        <v>0</v>
      </c>
      <c r="Z304" s="78">
        <v>0</v>
      </c>
      <c r="AA304" s="78">
        <v>0</v>
      </c>
      <c r="AB304" s="78">
        <v>0</v>
      </c>
      <c r="AC304" s="78">
        <v>0</v>
      </c>
      <c r="AD304" s="78">
        <v>0</v>
      </c>
      <c r="AE304" s="78">
        <v>0</v>
      </c>
      <c r="AF304" s="78">
        <v>12</v>
      </c>
      <c r="AG304" s="78">
        <v>0</v>
      </c>
      <c r="AH304" s="78">
        <v>0</v>
      </c>
      <c r="AI304" s="78">
        <v>100</v>
      </c>
      <c r="AJ304" s="78">
        <v>0</v>
      </c>
      <c r="AK304" s="78">
        <v>0</v>
      </c>
      <c r="AL304" s="78">
        <v>0</v>
      </c>
      <c r="AM304" s="78">
        <v>0</v>
      </c>
    </row>
    <row r="305" spans="2:39" x14ac:dyDescent="0.35">
      <c r="B305" t="str">
        <f t="shared" si="200"/>
        <v>Texas-3</v>
      </c>
      <c r="C305" t="str">
        <f t="shared" si="201"/>
        <v>Dec 2025-Texas-3</v>
      </c>
      <c r="D305">
        <f t="shared" si="202"/>
        <v>3</v>
      </c>
      <c r="E305">
        <f t="shared" si="203"/>
        <v>3.02</v>
      </c>
      <c r="F305">
        <f t="shared" si="204"/>
        <v>2</v>
      </c>
      <c r="G305">
        <f t="shared" si="205"/>
        <v>3</v>
      </c>
      <c r="H305" t="str">
        <f>IF(V305="","",IFERROR(VLOOKUP(TRIM($V305),KEY!$B$2:$F$72,3,FALSE),""))</f>
        <v>Texas</v>
      </c>
      <c r="I305" t="str">
        <f t="shared" si="206"/>
        <v>WEST-30</v>
      </c>
      <c r="J305" t="str">
        <f t="shared" si="207"/>
        <v>Mar 2026-WEST-30</v>
      </c>
      <c r="K305">
        <f t="shared" si="208"/>
        <v>30</v>
      </c>
      <c r="L305">
        <f t="shared" si="209"/>
        <v>20.22</v>
      </c>
      <c r="M305">
        <f>IF(V305="","",IFERROR(VLOOKUP(TRIM($V305),KEY!$B$2:$F$72,5,FALSE),""))</f>
        <v>22</v>
      </c>
      <c r="N305">
        <f t="shared" si="210"/>
        <v>20</v>
      </c>
      <c r="O305" t="str">
        <f t="shared" si="211"/>
        <v>Genesis-1</v>
      </c>
      <c r="P305">
        <f t="shared" si="212"/>
        <v>1</v>
      </c>
      <c r="Q305">
        <f t="shared" si="213"/>
        <v>1.01</v>
      </c>
      <c r="R305">
        <f t="shared" si="214"/>
        <v>1</v>
      </c>
      <c r="S305">
        <f t="shared" si="215"/>
        <v>1</v>
      </c>
      <c r="T305" t="str">
        <f>IF(V305="","",IFERROR(VLOOKUP(TRIM($V305),KEY!$B$2:$F$72,2,FALSE),""))</f>
        <v>Genesis</v>
      </c>
      <c r="V305" s="78" t="s">
        <v>213</v>
      </c>
      <c r="W305" s="78">
        <v>3</v>
      </c>
      <c r="X305" s="78">
        <v>0</v>
      </c>
      <c r="Y305" s="78">
        <v>0</v>
      </c>
      <c r="Z305" s="78">
        <v>0</v>
      </c>
      <c r="AA305" s="78">
        <v>0</v>
      </c>
      <c r="AB305" s="78">
        <v>0</v>
      </c>
      <c r="AC305" s="78">
        <v>0</v>
      </c>
      <c r="AD305" s="78">
        <v>0</v>
      </c>
      <c r="AE305" s="78">
        <v>0</v>
      </c>
      <c r="AF305" s="78">
        <v>0</v>
      </c>
      <c r="AG305" s="78">
        <v>0</v>
      </c>
      <c r="AH305" s="78">
        <v>3</v>
      </c>
      <c r="AI305" s="78">
        <v>100</v>
      </c>
      <c r="AJ305" s="78">
        <v>0</v>
      </c>
      <c r="AK305" s="78">
        <v>0</v>
      </c>
      <c r="AL305" s="78">
        <v>0</v>
      </c>
      <c r="AM305" s="78">
        <v>0</v>
      </c>
    </row>
    <row r="306" spans="2:39" x14ac:dyDescent="0.35">
      <c r="B306" t="str">
        <f t="shared" si="200"/>
        <v>Texas-6</v>
      </c>
      <c r="C306" t="str">
        <f t="shared" si="201"/>
        <v>Dec 2025-Texas-6</v>
      </c>
      <c r="D306">
        <f t="shared" si="202"/>
        <v>6</v>
      </c>
      <c r="E306">
        <f t="shared" si="203"/>
        <v>3.06</v>
      </c>
      <c r="F306">
        <f t="shared" si="204"/>
        <v>6</v>
      </c>
      <c r="G306">
        <f t="shared" si="205"/>
        <v>3</v>
      </c>
      <c r="H306" t="str">
        <f>IF(V306="","",IFERROR(VLOOKUP(TRIM($V306),KEY!$B$2:$F$72,3,FALSE),""))</f>
        <v>Texas</v>
      </c>
      <c r="I306" t="str">
        <f t="shared" si="206"/>
        <v>WEST-39</v>
      </c>
      <c r="J306" t="str">
        <f t="shared" si="207"/>
        <v>Mar 2026-WEST-39</v>
      </c>
      <c r="K306">
        <f t="shared" si="208"/>
        <v>39</v>
      </c>
      <c r="L306">
        <f t="shared" si="209"/>
        <v>20.399999999999999</v>
      </c>
      <c r="M306">
        <f>IF(V306="","",IFERROR(VLOOKUP(TRIM($V306),KEY!$B$2:$F$72,5,FALSE),""))</f>
        <v>40</v>
      </c>
      <c r="N306">
        <f t="shared" si="210"/>
        <v>20</v>
      </c>
      <c r="O306" t="str">
        <f t="shared" si="211"/>
        <v>MINI-2</v>
      </c>
      <c r="P306">
        <f t="shared" si="212"/>
        <v>2</v>
      </c>
      <c r="Q306">
        <f t="shared" si="213"/>
        <v>1.03</v>
      </c>
      <c r="R306">
        <f t="shared" si="214"/>
        <v>3</v>
      </c>
      <c r="S306">
        <f t="shared" si="215"/>
        <v>1</v>
      </c>
      <c r="T306" t="str">
        <f>IF(V306="","",IFERROR(VLOOKUP(TRIM($V306),KEY!$B$2:$F$72,2,FALSE),""))</f>
        <v>MINI</v>
      </c>
      <c r="V306" s="78" t="s">
        <v>197</v>
      </c>
      <c r="W306" s="78">
        <v>2</v>
      </c>
      <c r="X306" s="78">
        <v>0</v>
      </c>
      <c r="Y306" s="78">
        <v>0</v>
      </c>
      <c r="Z306" s="78">
        <v>0</v>
      </c>
      <c r="AA306" s="78">
        <v>0</v>
      </c>
      <c r="AB306" s="78">
        <v>0</v>
      </c>
      <c r="AC306" s="78">
        <v>0</v>
      </c>
      <c r="AD306" s="78">
        <v>0</v>
      </c>
      <c r="AE306" s="78">
        <v>0</v>
      </c>
      <c r="AF306" s="78">
        <v>0</v>
      </c>
      <c r="AG306" s="78">
        <v>0</v>
      </c>
      <c r="AH306" s="78">
        <v>2</v>
      </c>
      <c r="AI306" s="78">
        <v>100</v>
      </c>
      <c r="AJ306" s="78">
        <v>0</v>
      </c>
      <c r="AK306" s="78">
        <v>0</v>
      </c>
      <c r="AL306" s="78">
        <v>0</v>
      </c>
      <c r="AM306" s="78">
        <v>0</v>
      </c>
    </row>
    <row r="307" spans="2:39" x14ac:dyDescent="0.35">
      <c r="B307" t="str">
        <f t="shared" si="200"/>
        <v>Wisconsin-1</v>
      </c>
      <c r="C307" t="str">
        <f t="shared" si="201"/>
        <v>Dec 2025-Wisconsin-1</v>
      </c>
      <c r="D307">
        <f t="shared" si="202"/>
        <v>1</v>
      </c>
      <c r="E307">
        <f t="shared" si="203"/>
        <v>1.01</v>
      </c>
      <c r="F307">
        <f t="shared" si="204"/>
        <v>1</v>
      </c>
      <c r="G307">
        <f t="shared" si="205"/>
        <v>1</v>
      </c>
      <c r="H307" t="str">
        <f>IF(V307="","",IFERROR(VLOOKUP(TRIM($V307),KEY!$B$2:$F$72,3,FALSE),""))</f>
        <v>Wisconsin</v>
      </c>
      <c r="I307" t="str">
        <f t="shared" si="206"/>
        <v>WEST-11</v>
      </c>
      <c r="J307" t="str">
        <f t="shared" si="207"/>
        <v>Mar 2026-WEST-11</v>
      </c>
      <c r="K307">
        <f t="shared" si="208"/>
        <v>11</v>
      </c>
      <c r="L307">
        <f t="shared" si="209"/>
        <v>10.210000000000001</v>
      </c>
      <c r="M307">
        <f>IF(V307="","",IFERROR(VLOOKUP(TRIM($V307),KEY!$B$2:$F$72,5,FALSE),""))</f>
        <v>21</v>
      </c>
      <c r="N307">
        <f t="shared" si="210"/>
        <v>10</v>
      </c>
      <c r="O307" t="str">
        <f t="shared" si="211"/>
        <v>Toyota-2</v>
      </c>
      <c r="P307">
        <f t="shared" si="212"/>
        <v>2</v>
      </c>
      <c r="Q307">
        <f t="shared" si="213"/>
        <v>2.0099999999999998</v>
      </c>
      <c r="R307">
        <f t="shared" si="214"/>
        <v>1</v>
      </c>
      <c r="S307">
        <f t="shared" si="215"/>
        <v>2</v>
      </c>
      <c r="T307" t="str">
        <f>IF(V307="","",IFERROR(VLOOKUP(TRIM($V307),KEY!$B$2:$F$72,2,FALSE),""))</f>
        <v>Toyota</v>
      </c>
      <c r="V307" s="78" t="s">
        <v>198</v>
      </c>
      <c r="W307" s="78">
        <v>12</v>
      </c>
      <c r="X307" s="78">
        <v>1</v>
      </c>
      <c r="Y307" s="78">
        <v>8</v>
      </c>
      <c r="Z307" s="78">
        <v>1</v>
      </c>
      <c r="AA307" s="78">
        <v>1</v>
      </c>
      <c r="AB307" s="78">
        <v>0</v>
      </c>
      <c r="AC307" s="78">
        <v>2</v>
      </c>
      <c r="AD307" s="78">
        <v>4</v>
      </c>
      <c r="AE307" s="78">
        <v>33</v>
      </c>
      <c r="AF307" s="78">
        <v>8</v>
      </c>
      <c r="AG307" s="78">
        <v>0</v>
      </c>
      <c r="AH307" s="78">
        <v>0</v>
      </c>
      <c r="AI307" s="78">
        <v>67</v>
      </c>
      <c r="AJ307" s="78">
        <v>0</v>
      </c>
      <c r="AK307" s="78">
        <v>0</v>
      </c>
      <c r="AL307" s="78">
        <v>0</v>
      </c>
      <c r="AM307" s="78">
        <v>0</v>
      </c>
    </row>
    <row r="308" spans="2:39" x14ac:dyDescent="0.35">
      <c r="B308" t="str">
        <f t="shared" si="200"/>
        <v>Michigan &amp; Minnesota-2</v>
      </c>
      <c r="C308" t="str">
        <f t="shared" si="201"/>
        <v>Dec 2025-Michigan &amp; Minnesota-2</v>
      </c>
      <c r="D308">
        <f t="shared" si="202"/>
        <v>2</v>
      </c>
      <c r="E308">
        <f t="shared" si="203"/>
        <v>1.02</v>
      </c>
      <c r="F308">
        <f t="shared" si="204"/>
        <v>2</v>
      </c>
      <c r="G308">
        <f t="shared" si="205"/>
        <v>1</v>
      </c>
      <c r="H308" t="str">
        <f>IF(V308="","",IFERROR(VLOOKUP(TRIM($V308),KEY!$B$2:$F$72,3,FALSE),""))</f>
        <v>Michigan &amp; Minnesota</v>
      </c>
      <c r="I308" t="str">
        <f t="shared" si="206"/>
        <v>WEST-43</v>
      </c>
      <c r="J308" t="str">
        <f t="shared" si="207"/>
        <v>Mar 2026-WEST-43</v>
      </c>
      <c r="K308">
        <f t="shared" si="208"/>
        <v>43</v>
      </c>
      <c r="L308">
        <f t="shared" si="209"/>
        <v>20.45</v>
      </c>
      <c r="M308">
        <f>IF(V308="","",IFERROR(VLOOKUP(TRIM($V308),KEY!$B$2:$F$72,5,FALSE),""))</f>
        <v>45</v>
      </c>
      <c r="N308">
        <f t="shared" si="210"/>
        <v>20</v>
      </c>
      <c r="O308" t="str">
        <f t="shared" si="211"/>
        <v>BMW-5</v>
      </c>
      <c r="P308">
        <f t="shared" si="212"/>
        <v>5</v>
      </c>
      <c r="Q308">
        <f t="shared" si="213"/>
        <v>4.08</v>
      </c>
      <c r="R308">
        <f t="shared" si="214"/>
        <v>8</v>
      </c>
      <c r="S308">
        <f t="shared" si="215"/>
        <v>4</v>
      </c>
      <c r="T308" t="str">
        <f>IF(V308="","",IFERROR(VLOOKUP(TRIM($V308),KEY!$B$2:$F$72,2,FALSE),""))</f>
        <v>BMW</v>
      </c>
      <c r="V308" s="78" t="s">
        <v>199</v>
      </c>
      <c r="W308" s="78">
        <v>17</v>
      </c>
      <c r="X308" s="78">
        <v>0</v>
      </c>
      <c r="Y308" s="78">
        <v>0</v>
      </c>
      <c r="Z308" s="78">
        <v>0</v>
      </c>
      <c r="AA308" s="78">
        <v>0</v>
      </c>
      <c r="AB308" s="78">
        <v>0</v>
      </c>
      <c r="AC308" s="78">
        <v>0</v>
      </c>
      <c r="AD308" s="78">
        <v>0</v>
      </c>
      <c r="AE308" s="78">
        <v>0</v>
      </c>
      <c r="AF308" s="78">
        <v>0</v>
      </c>
      <c r="AG308" s="78">
        <v>0</v>
      </c>
      <c r="AH308" s="78">
        <v>17</v>
      </c>
      <c r="AI308" s="78">
        <v>100</v>
      </c>
      <c r="AJ308" s="78">
        <v>0</v>
      </c>
      <c r="AK308" s="78">
        <v>0</v>
      </c>
      <c r="AL308" s="78">
        <v>0</v>
      </c>
      <c r="AM308" s="78">
        <v>0</v>
      </c>
    </row>
    <row r="309" spans="2:39" x14ac:dyDescent="0.35">
      <c r="B309" t="str">
        <f t="shared" si="200"/>
        <v>Michigan &amp; Minnesota-1</v>
      </c>
      <c r="C309" t="str">
        <f t="shared" si="201"/>
        <v>Dec 2025-Michigan &amp; Minnesota-1</v>
      </c>
      <c r="D309">
        <f t="shared" si="202"/>
        <v>1</v>
      </c>
      <c r="E309">
        <f t="shared" si="203"/>
        <v>1.01</v>
      </c>
      <c r="F309">
        <f t="shared" si="204"/>
        <v>1</v>
      </c>
      <c r="G309">
        <f t="shared" si="205"/>
        <v>1</v>
      </c>
      <c r="H309" t="str">
        <f>IF(V309="","",IFERROR(VLOOKUP(TRIM($V309),KEY!$B$2:$F$72,3,FALSE),""))</f>
        <v>Michigan &amp; Minnesota</v>
      </c>
      <c r="I309" t="str">
        <f t="shared" si="206"/>
        <v>WEST-25</v>
      </c>
      <c r="J309" t="str">
        <f t="shared" si="207"/>
        <v>Mar 2026-WEST-25</v>
      </c>
      <c r="K309">
        <f t="shared" si="208"/>
        <v>25</v>
      </c>
      <c r="L309">
        <f t="shared" si="209"/>
        <v>20.13</v>
      </c>
      <c r="M309">
        <f>IF(V309="","",IFERROR(VLOOKUP(TRIM($V309),KEY!$B$2:$F$72,5,FALSE),""))</f>
        <v>13</v>
      </c>
      <c r="N309">
        <f t="shared" si="210"/>
        <v>20</v>
      </c>
      <c r="O309" t="str">
        <f t="shared" si="211"/>
        <v>BMW-4</v>
      </c>
      <c r="P309">
        <f t="shared" si="212"/>
        <v>4</v>
      </c>
      <c r="Q309">
        <f t="shared" si="213"/>
        <v>4.03</v>
      </c>
      <c r="R309">
        <f t="shared" si="214"/>
        <v>3</v>
      </c>
      <c r="S309">
        <f t="shared" si="215"/>
        <v>4</v>
      </c>
      <c r="T309" t="str">
        <f>IF(V309="","",IFERROR(VLOOKUP(TRIM($V309),KEY!$B$2:$F$72,2,FALSE),""))</f>
        <v>BMW</v>
      </c>
      <c r="V309" s="78" t="s">
        <v>201</v>
      </c>
      <c r="W309" s="78">
        <v>32</v>
      </c>
      <c r="X309" s="78">
        <v>0</v>
      </c>
      <c r="Y309" s="78">
        <v>0</v>
      </c>
      <c r="Z309" s="78">
        <v>0</v>
      </c>
      <c r="AA309" s="78">
        <v>0</v>
      </c>
      <c r="AB309" s="78">
        <v>0</v>
      </c>
      <c r="AC309" s="78">
        <v>0</v>
      </c>
      <c r="AD309" s="78">
        <v>0</v>
      </c>
      <c r="AE309" s="78">
        <v>0</v>
      </c>
      <c r="AF309" s="78">
        <v>11</v>
      </c>
      <c r="AG309" s="78">
        <v>0</v>
      </c>
      <c r="AH309" s="78">
        <v>21</v>
      </c>
      <c r="AI309" s="78">
        <v>100</v>
      </c>
      <c r="AJ309" s="78">
        <v>0</v>
      </c>
      <c r="AK309" s="78">
        <v>0</v>
      </c>
      <c r="AL309" s="78">
        <v>0</v>
      </c>
      <c r="AM309" s="78">
        <v>0</v>
      </c>
    </row>
    <row r="310" spans="2:39" x14ac:dyDescent="0.35">
      <c r="B310" t="str">
        <f t="shared" si="200"/>
        <v/>
      </c>
      <c r="C310" t="str">
        <f t="shared" si="201"/>
        <v/>
      </c>
      <c r="D310" t="str">
        <f t="shared" si="202"/>
        <v/>
      </c>
      <c r="E310" t="str">
        <f t="shared" si="203"/>
        <v/>
      </c>
      <c r="F310" t="str">
        <f t="shared" si="204"/>
        <v/>
      </c>
      <c r="G310" t="str">
        <f t="shared" si="205"/>
        <v/>
      </c>
      <c r="H310" t="str">
        <f>IF(V310="","",IFERROR(VLOOKUP(TRIM($V310),KEY!$B$2:$F$72,3,FALSE),""))</f>
        <v/>
      </c>
      <c r="I310" t="str">
        <f t="shared" si="206"/>
        <v/>
      </c>
      <c r="J310" t="str">
        <f t="shared" si="207"/>
        <v/>
      </c>
      <c r="K310" t="str">
        <f t="shared" si="208"/>
        <v/>
      </c>
      <c r="L310" t="str">
        <f t="shared" si="209"/>
        <v/>
      </c>
      <c r="M310" t="str">
        <f>IF(V310="","",IFERROR(VLOOKUP(TRIM($V310),KEY!$B$2:$F$72,5,FALSE),""))</f>
        <v/>
      </c>
      <c r="N310" t="str">
        <f t="shared" si="210"/>
        <v/>
      </c>
      <c r="O310" t="str">
        <f t="shared" si="211"/>
        <v/>
      </c>
      <c r="P310" t="str">
        <f t="shared" si="212"/>
        <v/>
      </c>
      <c r="Q310" t="str">
        <f t="shared" si="213"/>
        <v/>
      </c>
      <c r="R310" t="str">
        <f t="shared" si="214"/>
        <v/>
      </c>
      <c r="S310" t="str">
        <f t="shared" si="215"/>
        <v/>
      </c>
      <c r="T310" t="str">
        <f>IF(V310="","",IFERROR(VLOOKUP(TRIM($V310),KEY!$B$2:$F$72,2,FALSE),""))</f>
        <v/>
      </c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</row>
    <row r="311" spans="2:39" x14ac:dyDescent="0.35">
      <c r="B311" t="str">
        <f t="shared" si="200"/>
        <v/>
      </c>
      <c r="C311" t="str">
        <f t="shared" si="201"/>
        <v/>
      </c>
      <c r="D311" t="str">
        <f t="shared" si="202"/>
        <v/>
      </c>
      <c r="E311" t="str">
        <f t="shared" si="203"/>
        <v/>
      </c>
      <c r="F311" t="str">
        <f t="shared" si="204"/>
        <v/>
      </c>
      <c r="G311" t="str">
        <f t="shared" si="205"/>
        <v/>
      </c>
      <c r="H311" t="str">
        <f>IF(V311="","",IFERROR(VLOOKUP(TRIM($V311),KEY!$B$2:$F$72,3,FALSE),""))</f>
        <v/>
      </c>
      <c r="I311" t="str">
        <f t="shared" si="206"/>
        <v/>
      </c>
      <c r="J311" t="str">
        <f t="shared" si="207"/>
        <v/>
      </c>
      <c r="K311" t="str">
        <f t="shared" si="208"/>
        <v/>
      </c>
      <c r="L311" t="str">
        <f t="shared" si="209"/>
        <v/>
      </c>
      <c r="M311" t="str">
        <f>IF(V311="","",IFERROR(VLOOKUP(TRIM($V311),KEY!$B$2:$F$72,5,FALSE),""))</f>
        <v/>
      </c>
      <c r="N311" t="str">
        <f t="shared" si="210"/>
        <v/>
      </c>
      <c r="O311" t="str">
        <f t="shared" si="211"/>
        <v/>
      </c>
      <c r="P311" t="str">
        <f t="shared" si="212"/>
        <v/>
      </c>
      <c r="Q311" t="str">
        <f t="shared" si="213"/>
        <v/>
      </c>
      <c r="R311" t="str">
        <f t="shared" si="214"/>
        <v/>
      </c>
      <c r="S311" t="str">
        <f t="shared" si="215"/>
        <v/>
      </c>
      <c r="T311" t="str">
        <f>IF(V311="","",IFERROR(VLOOKUP(TRIM($V311),KEY!$B$2:$F$72,2,FALSE),""))</f>
        <v/>
      </c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</row>
    <row r="312" spans="2:39" x14ac:dyDescent="0.35">
      <c r="B312" t="str">
        <f t="shared" si="200"/>
        <v/>
      </c>
      <c r="C312" t="str">
        <f t="shared" si="201"/>
        <v/>
      </c>
      <c r="D312" t="str">
        <f t="shared" si="202"/>
        <v/>
      </c>
      <c r="E312" t="str">
        <f t="shared" si="203"/>
        <v/>
      </c>
      <c r="F312" t="str">
        <f t="shared" si="204"/>
        <v/>
      </c>
      <c r="G312" t="str">
        <f t="shared" si="205"/>
        <v/>
      </c>
      <c r="H312" t="str">
        <f>IF(V312="","",IFERROR(VLOOKUP(TRIM($V312),KEY!$B$2:$F$72,3,FALSE),""))</f>
        <v/>
      </c>
      <c r="I312" t="str">
        <f t="shared" si="206"/>
        <v/>
      </c>
      <c r="J312" t="str">
        <f t="shared" si="207"/>
        <v/>
      </c>
      <c r="K312" t="str">
        <f t="shared" si="208"/>
        <v/>
      </c>
      <c r="L312" t="str">
        <f t="shared" si="209"/>
        <v/>
      </c>
      <c r="M312" t="str">
        <f>IF(V312="","",IFERROR(VLOOKUP(TRIM($V312),KEY!$B$2:$F$72,5,FALSE),""))</f>
        <v/>
      </c>
      <c r="N312" t="str">
        <f t="shared" si="210"/>
        <v/>
      </c>
      <c r="O312" t="str">
        <f t="shared" si="211"/>
        <v/>
      </c>
      <c r="P312" t="str">
        <f t="shared" si="212"/>
        <v/>
      </c>
      <c r="Q312" t="str">
        <f t="shared" si="213"/>
        <v/>
      </c>
      <c r="R312" t="str">
        <f t="shared" si="214"/>
        <v/>
      </c>
      <c r="S312" t="str">
        <f t="shared" si="215"/>
        <v/>
      </c>
      <c r="T312" t="str">
        <f>IF(V312="","",IFERROR(VLOOKUP(TRIM($V312),KEY!$B$2:$F$72,2,FALSE),""))</f>
        <v/>
      </c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</row>
    <row r="313" spans="2:39" x14ac:dyDescent="0.35">
      <c r="B313" t="str">
        <f t="shared" si="200"/>
        <v/>
      </c>
      <c r="C313" t="str">
        <f t="shared" si="201"/>
        <v/>
      </c>
      <c r="D313" t="str">
        <f t="shared" si="202"/>
        <v/>
      </c>
      <c r="E313" t="str">
        <f t="shared" si="203"/>
        <v/>
      </c>
      <c r="F313" t="str">
        <f t="shared" si="204"/>
        <v/>
      </c>
      <c r="G313" t="str">
        <f t="shared" si="205"/>
        <v/>
      </c>
      <c r="H313" t="str">
        <f>IF(V313="","",IFERROR(VLOOKUP(TRIM($V313),KEY!$B$2:$F$72,3,FALSE),""))</f>
        <v/>
      </c>
      <c r="I313" t="str">
        <f t="shared" si="206"/>
        <v/>
      </c>
      <c r="J313" t="str">
        <f t="shared" si="207"/>
        <v/>
      </c>
      <c r="K313" t="str">
        <f t="shared" si="208"/>
        <v/>
      </c>
      <c r="L313" t="str">
        <f t="shared" si="209"/>
        <v/>
      </c>
      <c r="M313" t="str">
        <f>IF(V313="","",IFERROR(VLOOKUP(TRIM($V313),KEY!$B$2:$F$72,5,FALSE),""))</f>
        <v/>
      </c>
      <c r="N313" t="str">
        <f t="shared" si="210"/>
        <v/>
      </c>
      <c r="O313" t="str">
        <f t="shared" si="211"/>
        <v/>
      </c>
      <c r="P313" t="str">
        <f t="shared" si="212"/>
        <v/>
      </c>
      <c r="Q313" t="str">
        <f t="shared" si="213"/>
        <v/>
      </c>
      <c r="R313" t="str">
        <f t="shared" si="214"/>
        <v/>
      </c>
      <c r="S313" t="str">
        <f t="shared" si="215"/>
        <v/>
      </c>
      <c r="T313" t="str">
        <f>IF(V313="","",IFERROR(VLOOKUP(TRIM($V313),KEY!$B$2:$F$72,2,FALSE),""))</f>
        <v/>
      </c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</row>
    <row r="314" spans="2:39" x14ac:dyDescent="0.35">
      <c r="B314" t="str">
        <f t="shared" si="200"/>
        <v/>
      </c>
      <c r="C314" t="str">
        <f t="shared" si="201"/>
        <v/>
      </c>
      <c r="D314" t="str">
        <f t="shared" si="202"/>
        <v/>
      </c>
      <c r="E314" t="str">
        <f t="shared" si="203"/>
        <v/>
      </c>
      <c r="F314" t="str">
        <f t="shared" si="204"/>
        <v/>
      </c>
      <c r="G314" t="str">
        <f t="shared" si="205"/>
        <v/>
      </c>
      <c r="H314" t="str">
        <f>IF(V314="","",IFERROR(VLOOKUP(TRIM($V314),KEY!$B$2:$F$72,3,FALSE),""))</f>
        <v/>
      </c>
      <c r="I314" t="str">
        <f t="shared" si="206"/>
        <v/>
      </c>
      <c r="J314" t="str">
        <f t="shared" si="207"/>
        <v/>
      </c>
      <c r="K314" t="str">
        <f t="shared" si="208"/>
        <v/>
      </c>
      <c r="L314" t="str">
        <f t="shared" si="209"/>
        <v/>
      </c>
      <c r="M314" t="str">
        <f>IF(V314="","",IFERROR(VLOOKUP(TRIM($V314),KEY!$B$2:$F$72,5,FALSE),""))</f>
        <v/>
      </c>
      <c r="N314" t="str">
        <f t="shared" si="210"/>
        <v/>
      </c>
      <c r="O314" t="str">
        <f t="shared" si="211"/>
        <v/>
      </c>
      <c r="P314" t="str">
        <f t="shared" si="212"/>
        <v/>
      </c>
      <c r="Q314" t="str">
        <f t="shared" si="213"/>
        <v/>
      </c>
      <c r="R314" t="str">
        <f t="shared" si="214"/>
        <v/>
      </c>
      <c r="S314" t="str">
        <f t="shared" si="215"/>
        <v/>
      </c>
      <c r="T314" t="str">
        <f>IF(V314="","",IFERROR(VLOOKUP(TRIM($V314),KEY!$B$2:$F$72,2,FALSE),""))</f>
        <v/>
      </c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</row>
    <row r="315" spans="2:39" x14ac:dyDescent="0.35">
      <c r="B315" t="str">
        <f t="shared" si="200"/>
        <v/>
      </c>
      <c r="C315" t="str">
        <f t="shared" si="201"/>
        <v/>
      </c>
      <c r="D315" t="str">
        <f t="shared" si="202"/>
        <v/>
      </c>
      <c r="E315" t="str">
        <f t="shared" si="203"/>
        <v/>
      </c>
      <c r="F315" t="str">
        <f t="shared" si="204"/>
        <v/>
      </c>
      <c r="G315" t="str">
        <f t="shared" si="205"/>
        <v/>
      </c>
      <c r="H315" t="str">
        <f>IF(V315="","",IFERROR(VLOOKUP(TRIM($V315),KEY!$B$2:$F$72,3,FALSE),""))</f>
        <v/>
      </c>
      <c r="I315" t="str">
        <f t="shared" si="206"/>
        <v/>
      </c>
      <c r="J315" t="str">
        <f t="shared" si="207"/>
        <v/>
      </c>
      <c r="K315" t="str">
        <f t="shared" si="208"/>
        <v/>
      </c>
      <c r="L315" t="str">
        <f t="shared" si="209"/>
        <v/>
      </c>
      <c r="M315" t="str">
        <f>IF(V315="","",IFERROR(VLOOKUP(TRIM($V315),KEY!$B$2:$F$72,5,FALSE),""))</f>
        <v/>
      </c>
      <c r="N315" t="str">
        <f t="shared" si="210"/>
        <v/>
      </c>
      <c r="O315" t="str">
        <f t="shared" si="211"/>
        <v/>
      </c>
      <c r="P315" t="str">
        <f t="shared" si="212"/>
        <v/>
      </c>
      <c r="Q315" t="str">
        <f t="shared" si="213"/>
        <v/>
      </c>
      <c r="R315" t="str">
        <f t="shared" si="214"/>
        <v/>
      </c>
      <c r="S315" t="str">
        <f t="shared" si="215"/>
        <v/>
      </c>
      <c r="T315" t="str">
        <f>IF(V315="","",IFERROR(VLOOKUP(TRIM($V315),KEY!$B$2:$F$72,2,FALSE),""))</f>
        <v/>
      </c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</row>
    <row r="316" spans="2:39" x14ac:dyDescent="0.35">
      <c r="B316" t="str">
        <f t="shared" si="200"/>
        <v/>
      </c>
      <c r="C316" t="str">
        <f t="shared" si="201"/>
        <v/>
      </c>
      <c r="D316" t="str">
        <f t="shared" si="202"/>
        <v/>
      </c>
      <c r="E316" t="str">
        <f t="shared" si="203"/>
        <v/>
      </c>
      <c r="F316" t="str">
        <f t="shared" si="204"/>
        <v/>
      </c>
      <c r="G316" t="str">
        <f t="shared" si="205"/>
        <v/>
      </c>
      <c r="H316" t="str">
        <f>IF(V316="","",IFERROR(VLOOKUP(TRIM($V316),KEY!$B$2:$F$72,3,FALSE),""))</f>
        <v/>
      </c>
      <c r="I316" t="str">
        <f t="shared" si="206"/>
        <v/>
      </c>
      <c r="J316" t="str">
        <f t="shared" si="207"/>
        <v/>
      </c>
      <c r="K316" t="str">
        <f t="shared" si="208"/>
        <v/>
      </c>
      <c r="L316" t="str">
        <f t="shared" si="209"/>
        <v/>
      </c>
      <c r="M316" t="str">
        <f>IF(V316="","",IFERROR(VLOOKUP(TRIM($V316),KEY!$B$2:$F$72,5,FALSE),""))</f>
        <v/>
      </c>
      <c r="N316" t="str">
        <f t="shared" si="210"/>
        <v/>
      </c>
      <c r="O316" t="str">
        <f t="shared" si="211"/>
        <v/>
      </c>
      <c r="P316" t="str">
        <f t="shared" si="212"/>
        <v/>
      </c>
      <c r="Q316" t="str">
        <f t="shared" si="213"/>
        <v/>
      </c>
      <c r="R316" t="str">
        <f t="shared" si="214"/>
        <v/>
      </c>
      <c r="S316" t="str">
        <f t="shared" si="215"/>
        <v/>
      </c>
      <c r="T316" t="str">
        <f>IF(V316="","",IFERROR(VLOOKUP(TRIM($V316),KEY!$B$2:$F$72,2,FALSE),""))</f>
        <v/>
      </c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</row>
    <row r="317" spans="2:39" x14ac:dyDescent="0.35">
      <c r="B317" t="str">
        <f t="shared" si="200"/>
        <v/>
      </c>
      <c r="C317" t="str">
        <f t="shared" si="201"/>
        <v/>
      </c>
      <c r="D317" t="str">
        <f t="shared" si="202"/>
        <v/>
      </c>
      <c r="E317" t="str">
        <f t="shared" si="203"/>
        <v/>
      </c>
      <c r="F317" t="str">
        <f t="shared" si="204"/>
        <v/>
      </c>
      <c r="G317" t="str">
        <f t="shared" si="205"/>
        <v/>
      </c>
      <c r="H317" t="str">
        <f>IF(V317="","",IFERROR(VLOOKUP(TRIM($V317),KEY!$B$2:$F$72,3,FALSE),""))</f>
        <v/>
      </c>
      <c r="I317" t="str">
        <f t="shared" si="206"/>
        <v/>
      </c>
      <c r="J317" t="str">
        <f t="shared" si="207"/>
        <v/>
      </c>
      <c r="K317" t="str">
        <f t="shared" si="208"/>
        <v/>
      </c>
      <c r="L317" t="str">
        <f t="shared" si="209"/>
        <v/>
      </c>
      <c r="M317" t="str">
        <f>IF(V317="","",IFERROR(VLOOKUP(TRIM($V317),KEY!$B$2:$F$72,5,FALSE),""))</f>
        <v/>
      </c>
      <c r="N317" t="str">
        <f t="shared" si="210"/>
        <v/>
      </c>
      <c r="O317" t="str">
        <f t="shared" si="211"/>
        <v/>
      </c>
      <c r="P317" t="str">
        <f t="shared" si="212"/>
        <v/>
      </c>
      <c r="Q317" t="str">
        <f t="shared" si="213"/>
        <v/>
      </c>
      <c r="R317" t="str">
        <f t="shared" si="214"/>
        <v/>
      </c>
      <c r="S317" t="str">
        <f t="shared" si="215"/>
        <v/>
      </c>
      <c r="T317" t="str">
        <f>IF(V317="","",IFERROR(VLOOKUP(TRIM($V317),KEY!$B$2:$F$72,2,FALSE),""))</f>
        <v/>
      </c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</row>
    <row r="318" spans="2:39" x14ac:dyDescent="0.35">
      <c r="B318" t="str">
        <f t="shared" si="200"/>
        <v/>
      </c>
      <c r="C318" t="str">
        <f t="shared" si="201"/>
        <v/>
      </c>
      <c r="D318" t="str">
        <f t="shared" si="202"/>
        <v/>
      </c>
      <c r="E318" t="str">
        <f t="shared" si="203"/>
        <v/>
      </c>
      <c r="F318" t="str">
        <f t="shared" si="204"/>
        <v/>
      </c>
      <c r="G318" t="str">
        <f t="shared" si="205"/>
        <v/>
      </c>
      <c r="H318" t="str">
        <f>IF(V318="","",IFERROR(VLOOKUP(TRIM($V318),KEY!$B$2:$F$72,3,FALSE),""))</f>
        <v/>
      </c>
      <c r="I318" t="str">
        <f t="shared" si="206"/>
        <v/>
      </c>
      <c r="J318" t="str">
        <f t="shared" si="207"/>
        <v/>
      </c>
      <c r="K318" t="str">
        <f t="shared" si="208"/>
        <v/>
      </c>
      <c r="L318" t="str">
        <f t="shared" si="209"/>
        <v/>
      </c>
      <c r="M318" t="str">
        <f>IF(V318="","",IFERROR(VLOOKUP(TRIM($V318),KEY!$B$2:$F$72,5,FALSE),""))</f>
        <v/>
      </c>
      <c r="N318" t="str">
        <f t="shared" si="210"/>
        <v/>
      </c>
      <c r="O318" t="str">
        <f t="shared" si="211"/>
        <v/>
      </c>
      <c r="P318" t="str">
        <f t="shared" si="212"/>
        <v/>
      </c>
      <c r="Q318" t="str">
        <f t="shared" si="213"/>
        <v/>
      </c>
      <c r="R318" t="str">
        <f t="shared" si="214"/>
        <v/>
      </c>
      <c r="S318" t="str">
        <f t="shared" si="215"/>
        <v/>
      </c>
      <c r="T318" t="str">
        <f>IF(V318="","",IFERROR(VLOOKUP(TRIM($V318),KEY!$B$2:$F$72,2,FALSE),""))</f>
        <v/>
      </c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</row>
    <row r="319" spans="2:39" x14ac:dyDescent="0.35">
      <c r="B319" t="str">
        <f t="shared" si="200"/>
        <v/>
      </c>
      <c r="C319" t="str">
        <f t="shared" si="201"/>
        <v/>
      </c>
      <c r="D319" t="str">
        <f t="shared" si="202"/>
        <v/>
      </c>
      <c r="E319" t="str">
        <f t="shared" si="203"/>
        <v/>
      </c>
      <c r="F319" t="str">
        <f t="shared" si="204"/>
        <v/>
      </c>
      <c r="G319" t="str">
        <f t="shared" si="205"/>
        <v/>
      </c>
      <c r="H319" t="str">
        <f>IF(V319="","",IFERROR(VLOOKUP(TRIM($V319),KEY!$B$2:$F$72,3,FALSE),""))</f>
        <v/>
      </c>
      <c r="I319" t="str">
        <f t="shared" si="206"/>
        <v/>
      </c>
      <c r="J319" t="str">
        <f t="shared" si="207"/>
        <v/>
      </c>
      <c r="K319" t="str">
        <f t="shared" si="208"/>
        <v/>
      </c>
      <c r="L319" t="str">
        <f t="shared" si="209"/>
        <v/>
      </c>
      <c r="M319" t="str">
        <f>IF(V319="","",IFERROR(VLOOKUP(TRIM($V319),KEY!$B$2:$F$72,5,FALSE),""))</f>
        <v/>
      </c>
      <c r="N319" t="str">
        <f t="shared" si="210"/>
        <v/>
      </c>
      <c r="O319" t="str">
        <f t="shared" si="211"/>
        <v/>
      </c>
      <c r="P319" t="str">
        <f t="shared" si="212"/>
        <v/>
      </c>
      <c r="Q319" t="str">
        <f t="shared" si="213"/>
        <v/>
      </c>
      <c r="R319" t="str">
        <f t="shared" si="214"/>
        <v/>
      </c>
      <c r="S319" t="str">
        <f t="shared" si="215"/>
        <v/>
      </c>
      <c r="T319" t="str">
        <f>IF(V319="","",IFERROR(VLOOKUP(TRIM($V319),KEY!$B$2:$F$72,2,FALSE),""))</f>
        <v/>
      </c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</row>
    <row r="320" spans="2:39" x14ac:dyDescent="0.35">
      <c r="B320" t="str">
        <f t="shared" si="200"/>
        <v/>
      </c>
      <c r="C320" t="str">
        <f t="shared" si="201"/>
        <v/>
      </c>
      <c r="D320" t="str">
        <f t="shared" si="202"/>
        <v/>
      </c>
      <c r="E320" t="str">
        <f t="shared" si="203"/>
        <v/>
      </c>
      <c r="F320" t="str">
        <f t="shared" si="204"/>
        <v/>
      </c>
      <c r="G320" t="str">
        <f t="shared" si="205"/>
        <v/>
      </c>
      <c r="H320" t="str">
        <f>IF(V320="","",IFERROR(VLOOKUP(TRIM($V320),KEY!$B$2:$F$72,3,FALSE),""))</f>
        <v/>
      </c>
      <c r="I320" t="str">
        <f t="shared" si="206"/>
        <v/>
      </c>
      <c r="J320" t="str">
        <f t="shared" si="207"/>
        <v/>
      </c>
      <c r="K320" t="str">
        <f t="shared" si="208"/>
        <v/>
      </c>
      <c r="L320" t="str">
        <f t="shared" si="209"/>
        <v/>
      </c>
      <c r="M320" t="str">
        <f>IF(V320="","",IFERROR(VLOOKUP(TRIM($V320),KEY!$B$2:$F$72,5,FALSE),""))</f>
        <v/>
      </c>
      <c r="N320" t="str">
        <f t="shared" si="210"/>
        <v/>
      </c>
      <c r="O320" t="str">
        <f t="shared" si="211"/>
        <v/>
      </c>
      <c r="P320" t="str">
        <f t="shared" si="212"/>
        <v/>
      </c>
      <c r="Q320" t="str">
        <f t="shared" si="213"/>
        <v/>
      </c>
      <c r="R320" t="str">
        <f t="shared" si="214"/>
        <v/>
      </c>
      <c r="S320" t="str">
        <f t="shared" si="215"/>
        <v/>
      </c>
      <c r="T320" t="str">
        <f>IF(V320="","",IFERROR(VLOOKUP(TRIM($V320),KEY!$B$2:$F$72,2,FALSE),""))</f>
        <v/>
      </c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</row>
    <row r="321" spans="2:39" x14ac:dyDescent="0.35">
      <c r="B321" t="str">
        <f t="shared" ref="B321:B325" si="216">IF(V321="","",H321&amp;"-"&amp;D321)</f>
        <v/>
      </c>
      <c r="C321" t="str">
        <f t="shared" ref="C321:C325" si="217">IF(V321="","",$W$1&amp;"-"&amp;B321)</f>
        <v/>
      </c>
      <c r="D321" t="str">
        <f t="shared" ref="D321:D325" si="218">IF(V321="","",COUNTIFS($H$256:$H$325,H321,$E$256:$E$325,"&lt;"&amp;E321)+1)</f>
        <v/>
      </c>
      <c r="E321" t="str">
        <f t="shared" ref="E321:E325" si="219">IF(V321="","",G321+(F321/100))</f>
        <v/>
      </c>
      <c r="F321" t="str">
        <f t="shared" ref="F321:F325" si="220">IF(V321="","",COUNTIFS($H$256:$H$325,H321,$V$256:$V$325,"&lt;"&amp;V321)+1)</f>
        <v/>
      </c>
      <c r="G321" t="str">
        <f t="shared" ref="G321:G325" si="221">IF(V321="","",COUNTIFS($H$256:$H$325,H321,$Y$256:$Y$325,"&gt;"&amp;Y321)+1)</f>
        <v/>
      </c>
      <c r="H321" t="str">
        <f>IF(V321="","",IFERROR(VLOOKUP(TRIM($V321),KEY!$B$2:$F$72,3,FALSE),""))</f>
        <v/>
      </c>
      <c r="I321" t="str">
        <f t="shared" ref="I321:I325" si="222">IF(V321="","","WEST-"&amp;K321)</f>
        <v/>
      </c>
      <c r="J321" t="str">
        <f t="shared" ref="J321:J325" si="223">IF(V321="","",$Z$1&amp;"-"&amp;I321)</f>
        <v/>
      </c>
      <c r="K321" t="str">
        <f t="shared" ref="K321:K325" si="224">IFERROR(IF(V321="","",RANK(L321,$L$256:$L$325,1)),"-")</f>
        <v/>
      </c>
      <c r="L321" t="str">
        <f t="shared" ref="L321:L325" si="225">IFERROR(IF(V321="","",N321+(M321/100)),"-")</f>
        <v/>
      </c>
      <c r="M321" t="str">
        <f>IF(V321="","",IFERROR(VLOOKUP(TRIM($V321),KEY!$B$2:$F$72,5,FALSE),""))</f>
        <v/>
      </c>
      <c r="N321" t="str">
        <f t="shared" ref="N321:N325" si="226">IFERROR(IF(V321="","",RANK(Y321,$Y$256:$Y$325)),"-")</f>
        <v/>
      </c>
      <c r="O321" t="str">
        <f t="shared" ref="O321:O325" si="227">IF(V321="","",T321&amp;"-"&amp;P321)</f>
        <v/>
      </c>
      <c r="P321" t="str">
        <f t="shared" ref="P321:P325" si="228">IF(OR(V321="",Q321=""),"",COUNTIFS($T$4:$T$74,T321,$Q$4:$Q$74,"&lt;"&amp;Q321)+1)</f>
        <v/>
      </c>
      <c r="Q321" t="str">
        <f t="shared" ref="Q321:Q325" si="229">IF(OR(V321="",W321=0),"",S321+(R321/100))</f>
        <v/>
      </c>
      <c r="R321" t="str">
        <f t="shared" ref="R321:R325" si="230">IF(V321="","",COUNTIFS($T$256:$T$325,T321,$V$256:$V$325,"&lt;"&amp;V321)+1)</f>
        <v/>
      </c>
      <c r="S321" t="str">
        <f t="shared" ref="S321:S325" si="231">IF(V321="","",COUNTIFS($T$339:$T$408,T321,$Y$339:$Y$408,"&gt;"&amp;Y321)+1)</f>
        <v/>
      </c>
      <c r="T321" t="str">
        <f>IF(V321="","",IFERROR(VLOOKUP(TRIM($V321),KEY!$B$2:$F$72,2,FALSE),""))</f>
        <v/>
      </c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</row>
    <row r="322" spans="2:39" x14ac:dyDescent="0.35">
      <c r="B322" t="str">
        <f t="shared" si="216"/>
        <v/>
      </c>
      <c r="C322" t="str">
        <f t="shared" si="217"/>
        <v/>
      </c>
      <c r="D322" t="str">
        <f t="shared" si="218"/>
        <v/>
      </c>
      <c r="E322" t="str">
        <f t="shared" si="219"/>
        <v/>
      </c>
      <c r="F322" t="str">
        <f t="shared" si="220"/>
        <v/>
      </c>
      <c r="G322" t="str">
        <f t="shared" si="221"/>
        <v/>
      </c>
      <c r="H322" t="str">
        <f>IF(V322="","",IFERROR(VLOOKUP(TRIM($V322),KEY!$B$2:$F$72,3,FALSE),""))</f>
        <v/>
      </c>
      <c r="I322" t="str">
        <f t="shared" si="222"/>
        <v/>
      </c>
      <c r="J322" t="str">
        <f t="shared" si="223"/>
        <v/>
      </c>
      <c r="K322" t="str">
        <f t="shared" si="224"/>
        <v/>
      </c>
      <c r="L322" t="str">
        <f t="shared" si="225"/>
        <v/>
      </c>
      <c r="M322" t="str">
        <f>IF(V322="","",IFERROR(VLOOKUP(TRIM($V322),KEY!$B$2:$F$72,5,FALSE),""))</f>
        <v/>
      </c>
      <c r="N322" t="str">
        <f t="shared" si="226"/>
        <v/>
      </c>
      <c r="O322" t="str">
        <f t="shared" si="227"/>
        <v/>
      </c>
      <c r="P322" t="str">
        <f t="shared" si="228"/>
        <v/>
      </c>
      <c r="Q322" t="str">
        <f t="shared" si="229"/>
        <v/>
      </c>
      <c r="R322" t="str">
        <f t="shared" si="230"/>
        <v/>
      </c>
      <c r="S322" t="str">
        <f t="shared" si="231"/>
        <v/>
      </c>
      <c r="T322" t="str">
        <f>IF(V322="","",IFERROR(VLOOKUP(TRIM($V322),KEY!$B$2:$F$72,2,FALSE),""))</f>
        <v/>
      </c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</row>
    <row r="323" spans="2:39" x14ac:dyDescent="0.35">
      <c r="B323" t="str">
        <f t="shared" si="216"/>
        <v/>
      </c>
      <c r="C323" t="str">
        <f t="shared" si="217"/>
        <v/>
      </c>
      <c r="D323" t="str">
        <f t="shared" si="218"/>
        <v/>
      </c>
      <c r="E323" t="str">
        <f t="shared" si="219"/>
        <v/>
      </c>
      <c r="F323" t="str">
        <f t="shared" si="220"/>
        <v/>
      </c>
      <c r="G323" t="str">
        <f t="shared" si="221"/>
        <v/>
      </c>
      <c r="H323" t="str">
        <f>IF(V323="","",IFERROR(VLOOKUP(TRIM($V323),KEY!$B$2:$F$72,3,FALSE),""))</f>
        <v/>
      </c>
      <c r="I323" t="str">
        <f t="shared" si="222"/>
        <v/>
      </c>
      <c r="J323" t="str">
        <f t="shared" si="223"/>
        <v/>
      </c>
      <c r="K323" t="str">
        <f t="shared" si="224"/>
        <v/>
      </c>
      <c r="L323" t="str">
        <f t="shared" si="225"/>
        <v/>
      </c>
      <c r="M323" t="str">
        <f>IF(V323="","",IFERROR(VLOOKUP(TRIM($V323),KEY!$B$2:$F$72,5,FALSE),""))</f>
        <v/>
      </c>
      <c r="N323" t="str">
        <f t="shared" si="226"/>
        <v/>
      </c>
      <c r="O323" t="str">
        <f t="shared" si="227"/>
        <v/>
      </c>
      <c r="P323" t="str">
        <f t="shared" si="228"/>
        <v/>
      </c>
      <c r="Q323" t="str">
        <f t="shared" si="229"/>
        <v/>
      </c>
      <c r="R323" t="str">
        <f t="shared" si="230"/>
        <v/>
      </c>
      <c r="S323" t="str">
        <f t="shared" si="231"/>
        <v/>
      </c>
      <c r="T323" t="str">
        <f>IF(V323="","",IFERROR(VLOOKUP(TRIM($V323),KEY!$B$2:$F$72,2,FALSE),""))</f>
        <v/>
      </c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</row>
    <row r="324" spans="2:39" x14ac:dyDescent="0.35">
      <c r="B324" t="str">
        <f t="shared" si="216"/>
        <v/>
      </c>
      <c r="C324" t="str">
        <f t="shared" si="217"/>
        <v/>
      </c>
      <c r="D324" t="str">
        <f t="shared" si="218"/>
        <v/>
      </c>
      <c r="E324" t="str">
        <f t="shared" si="219"/>
        <v/>
      </c>
      <c r="F324" t="str">
        <f t="shared" si="220"/>
        <v/>
      </c>
      <c r="G324" t="str">
        <f t="shared" si="221"/>
        <v/>
      </c>
      <c r="H324" t="str">
        <f>IF(V324="","",IFERROR(VLOOKUP(TRIM($V324),KEY!$B$2:$F$72,3,FALSE),""))</f>
        <v/>
      </c>
      <c r="I324" t="str">
        <f t="shared" si="222"/>
        <v/>
      </c>
      <c r="J324" t="str">
        <f t="shared" si="223"/>
        <v/>
      </c>
      <c r="K324" t="str">
        <f t="shared" si="224"/>
        <v/>
      </c>
      <c r="L324" t="str">
        <f t="shared" si="225"/>
        <v/>
      </c>
      <c r="M324" t="str">
        <f>IF(V324="","",IFERROR(VLOOKUP(TRIM($V324),KEY!$B$2:$F$72,5,FALSE),""))</f>
        <v/>
      </c>
      <c r="N324" t="str">
        <f t="shared" si="226"/>
        <v/>
      </c>
      <c r="O324" t="str">
        <f t="shared" si="227"/>
        <v/>
      </c>
      <c r="P324" t="str">
        <f t="shared" si="228"/>
        <v/>
      </c>
      <c r="Q324" t="str">
        <f t="shared" si="229"/>
        <v/>
      </c>
      <c r="R324" t="str">
        <f t="shared" si="230"/>
        <v/>
      </c>
      <c r="S324" t="str">
        <f t="shared" si="231"/>
        <v/>
      </c>
      <c r="T324" t="str">
        <f>IF(V324="","",IFERROR(VLOOKUP(TRIM($V324),KEY!$B$2:$F$72,2,FALSE),""))</f>
        <v/>
      </c>
      <c r="V324" s="79"/>
      <c r="W324" s="81" t="s">
        <v>202</v>
      </c>
      <c r="X324" s="81" t="s">
        <v>202</v>
      </c>
      <c r="Y324" s="82" t="s">
        <v>202</v>
      </c>
      <c r="Z324" s="81" t="s">
        <v>202</v>
      </c>
      <c r="AA324" s="81" t="s">
        <v>202</v>
      </c>
      <c r="AB324" s="81" t="s">
        <v>202</v>
      </c>
      <c r="AC324" s="81" t="s">
        <v>202</v>
      </c>
      <c r="AD324" s="81" t="s">
        <v>202</v>
      </c>
      <c r="AE324" s="82" t="s">
        <v>202</v>
      </c>
      <c r="AF324" s="81" t="s">
        <v>202</v>
      </c>
      <c r="AG324" s="81" t="s">
        <v>202</v>
      </c>
      <c r="AH324" s="81" t="s">
        <v>202</v>
      </c>
      <c r="AI324" s="82" t="s">
        <v>202</v>
      </c>
      <c r="AJ324" s="81" t="s">
        <v>202</v>
      </c>
      <c r="AK324" s="81" t="s">
        <v>202</v>
      </c>
      <c r="AL324" s="81" t="s">
        <v>202</v>
      </c>
      <c r="AM324" s="82" t="s">
        <v>202</v>
      </c>
    </row>
    <row r="325" spans="2:39" x14ac:dyDescent="0.35">
      <c r="B325" t="str">
        <f t="shared" si="216"/>
        <v/>
      </c>
      <c r="C325" t="str">
        <f t="shared" si="217"/>
        <v/>
      </c>
      <c r="D325" t="str">
        <f t="shared" si="218"/>
        <v/>
      </c>
      <c r="E325" t="str">
        <f t="shared" si="219"/>
        <v/>
      </c>
      <c r="F325" t="str">
        <f t="shared" si="220"/>
        <v/>
      </c>
      <c r="G325" t="str">
        <f t="shared" si="221"/>
        <v/>
      </c>
      <c r="H325" t="str">
        <f>IF(V325="","",IFERROR(VLOOKUP(TRIM($V325),KEY!$B$2:$F$72,3,FALSE),""))</f>
        <v/>
      </c>
      <c r="I325" t="str">
        <f t="shared" si="222"/>
        <v/>
      </c>
      <c r="J325" t="str">
        <f t="shared" si="223"/>
        <v/>
      </c>
      <c r="K325" t="str">
        <f t="shared" si="224"/>
        <v/>
      </c>
      <c r="L325" t="str">
        <f t="shared" si="225"/>
        <v/>
      </c>
      <c r="M325" t="str">
        <f>IF(V325="","",IFERROR(VLOOKUP(TRIM($V325),KEY!$B$2:$F$72,5,FALSE),""))</f>
        <v/>
      </c>
      <c r="N325" t="str">
        <f t="shared" si="226"/>
        <v/>
      </c>
      <c r="O325" t="str">
        <f t="shared" si="227"/>
        <v/>
      </c>
      <c r="P325" t="str">
        <f t="shared" si="228"/>
        <v/>
      </c>
      <c r="Q325" t="str">
        <f t="shared" si="229"/>
        <v/>
      </c>
      <c r="R325" t="str">
        <f t="shared" si="230"/>
        <v/>
      </c>
      <c r="S325" t="str">
        <f t="shared" si="231"/>
        <v/>
      </c>
      <c r="T325" t="str">
        <f>IF(V325="","",IFERROR(VLOOKUP(TRIM($V325),KEY!$B$2:$F$72,2,FALSE),""))</f>
        <v/>
      </c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</row>
    <row r="326" spans="2:39" ht="15.5" x14ac:dyDescent="0.35">
      <c r="T326" t="str">
        <f>IF(V326="","",IFERROR(VLOOKUP(TRIM($V326),KEY!$B$2:$F$72,2,FALSE),""))</f>
        <v/>
      </c>
      <c r="V326" s="1" t="s">
        <v>203</v>
      </c>
      <c r="W326" s="57">
        <f>SUM(W256:W325)</f>
        <v>1271</v>
      </c>
      <c r="X326" s="57">
        <f>SUM(X256:X325)</f>
        <v>102</v>
      </c>
      <c r="Y326" s="58">
        <f>X326/W326</f>
        <v>8.0251770259638075E-2</v>
      </c>
      <c r="Z326" s="57">
        <f>SUM(Z256:Z325)</f>
        <v>7</v>
      </c>
      <c r="AA326" s="57">
        <f>SUM(AA256:AA325)</f>
        <v>102</v>
      </c>
      <c r="AB326" s="57">
        <f>SUM(AB256:AB325)</f>
        <v>1</v>
      </c>
      <c r="AC326" s="57">
        <f>SUM(AC256:AC325)</f>
        <v>12</v>
      </c>
      <c r="AD326" s="57">
        <f>SUM(AD256:AD325)</f>
        <v>122</v>
      </c>
      <c r="AE326" s="58">
        <f>AD326/W326</f>
        <v>9.5987411487018101E-2</v>
      </c>
      <c r="AF326" s="57">
        <f>SUM(AF256:AF325)</f>
        <v>207</v>
      </c>
      <c r="AG326" s="57">
        <f>SUM(AG256:AG325)</f>
        <v>4</v>
      </c>
      <c r="AH326" s="57">
        <f>SUM(AH256:AH325)</f>
        <v>907</v>
      </c>
      <c r="AI326" s="58">
        <f>(AF326+AG326+AH326)/W326</f>
        <v>0.87962234461054289</v>
      </c>
      <c r="AJ326" s="57">
        <f>SUM(AJ256:AJ325)</f>
        <v>8</v>
      </c>
      <c r="AK326" s="57">
        <f>SUM(AK256:AK325)</f>
        <v>23</v>
      </c>
      <c r="AL326" s="57">
        <f>SUM(AL256:AL325)</f>
        <v>0</v>
      </c>
      <c r="AM326" s="58">
        <f>(AJ326+AK326+AL326)/W326</f>
        <v>2.4390243902439025E-2</v>
      </c>
    </row>
    <row r="327" spans="2:39" x14ac:dyDescent="0.35">
      <c r="J327" t="str">
        <f ca="1">$Z$1&amp;"-"&amp;O327</f>
        <v>Mar 2026-RGN-6</v>
      </c>
      <c r="N327" t="s">
        <v>204</v>
      </c>
      <c r="O327" t="str">
        <f ca="1">T327&amp;"-"&amp;P327</f>
        <v>RGN-6</v>
      </c>
      <c r="P327">
        <f ca="1">COUNTIFS(T327:T335,T327,Q327:Q335,"&lt;"&amp;Q327)+1</f>
        <v>6</v>
      </c>
      <c r="Q327">
        <f ca="1">S327+(R327/100)</f>
        <v>6.01</v>
      </c>
      <c r="R327">
        <f>COUNTIFS(T327:T335,T327,V327:V335,"&lt;"&amp;V327)+1</f>
        <v>1</v>
      </c>
      <c r="S327">
        <f ca="1">COUNTIFS(T327:T335,T327,Y327:Y335,"&gt;"&amp;Y327)+1</f>
        <v>6</v>
      </c>
      <c r="T327" t="s">
        <v>205</v>
      </c>
      <c r="V327" t="s">
        <v>204</v>
      </c>
      <c r="W327" s="1">
        <f ca="1">SUMIF(H256:W325,N327,W256:W325)</f>
        <v>188</v>
      </c>
      <c r="X327" s="1">
        <f ca="1">SUMIF(H256:X325,N327,X256:X325)</f>
        <v>6</v>
      </c>
      <c r="Y327" s="3">
        <f t="shared" ref="Y327:Y328" ca="1" si="232">X327/W327</f>
        <v>3.1914893617021274E-2</v>
      </c>
      <c r="Z327" s="1">
        <f ca="1">SUMIF(H256:Z325,N327,Z256:Z325)</f>
        <v>2</v>
      </c>
      <c r="AA327" s="1">
        <f ca="1">SUMIF(H256:AA325,N327,AA256:AA325)</f>
        <v>6</v>
      </c>
      <c r="AB327" s="1">
        <f ca="1">SUMIF(H256:AB325,N327,AB256:AB325)</f>
        <v>0</v>
      </c>
      <c r="AC327" s="1">
        <f ca="1">SUMIF(H256:AC325,N327,AC256:AC325)</f>
        <v>1</v>
      </c>
      <c r="AD327" s="1">
        <f ca="1">SUMIF(H256:AD325,N327,AD256:AD325)</f>
        <v>9</v>
      </c>
      <c r="AE327" s="3">
        <f t="shared" ref="AE327:AE329" ca="1" si="233">AD327/W327</f>
        <v>4.7872340425531915E-2</v>
      </c>
      <c r="AF327" s="1">
        <f ca="1">SUMIF(H256:AF325,N327,AF256:AF325)</f>
        <v>6</v>
      </c>
      <c r="AG327" s="1">
        <f ca="1">SUMIF(H256:AG325,N327,AG256:AG325)</f>
        <v>0</v>
      </c>
      <c r="AH327" s="1">
        <f ca="1">SUMIF(H256:AH325,N327,AH256:AH325)</f>
        <v>169</v>
      </c>
      <c r="AI327" s="3">
        <f t="shared" ref="AI327:AI329" ca="1" si="234">(AF327+AG327+AH327)/W327</f>
        <v>0.93085106382978722</v>
      </c>
      <c r="AJ327" s="1">
        <f ca="1">SUMIF(H256:AJ325,N327,AJ256:AJ325)</f>
        <v>1</v>
      </c>
      <c r="AK327" s="1">
        <f ca="1">SUMIF(H256:AK325,N327,AK256:AK325)</f>
        <v>3</v>
      </c>
      <c r="AL327" s="1">
        <f ca="1">SUMIF(H256:AL325,N327,AL256:AL325)</f>
        <v>0</v>
      </c>
      <c r="AM327" s="3">
        <f t="shared" ref="AM327:AM329" ca="1" si="235">(AJ327+AK327+AL327)/W327</f>
        <v>2.1276595744680851E-2</v>
      </c>
    </row>
    <row r="328" spans="2:39" x14ac:dyDescent="0.35">
      <c r="J328" t="str">
        <f t="shared" ref="J328:J329" ca="1" si="236">$Z$1&amp;"-"&amp;O328</f>
        <v>Mar 2026-RGN-1</v>
      </c>
      <c r="N328" t="s">
        <v>206</v>
      </c>
      <c r="O328" t="str">
        <f t="shared" ref="O328:O329" ca="1" si="237">T328&amp;"-"&amp;P328</f>
        <v>RGN-1</v>
      </c>
      <c r="P328">
        <f ca="1">COUNTIFS(T327:T335,T328,Q327:Q335,"&lt;"&amp;Q328)+1</f>
        <v>1</v>
      </c>
      <c r="Q328">
        <f t="shared" ref="Q328:Q329" ca="1" si="238">S328+(R328/100)</f>
        <v>1.02</v>
      </c>
      <c r="R328">
        <f>COUNTIFS(T327:T335,T328,V327:V335,"&lt;"&amp;V328)+1</f>
        <v>2</v>
      </c>
      <c r="S328">
        <f ca="1">COUNTIFS(T327:T335,T328,Y327:Y335,"&gt;"&amp;Y328)+1</f>
        <v>1</v>
      </c>
      <c r="T328" t="s">
        <v>205</v>
      </c>
      <c r="V328" t="s">
        <v>206</v>
      </c>
      <c r="W328" s="1">
        <f ca="1">SUMIF(H256:W325,N328,W256:W325)</f>
        <v>103</v>
      </c>
      <c r="X328" s="1">
        <f ca="1">SUMIF(H256:X325,N328,X256:X325)</f>
        <v>21</v>
      </c>
      <c r="Y328" s="3">
        <f t="shared" ca="1" si="232"/>
        <v>0.20388349514563106</v>
      </c>
      <c r="Z328" s="1">
        <f ca="1">SUMIF(H256:Z325,N328,Z256:Z325)</f>
        <v>0</v>
      </c>
      <c r="AA328" s="1">
        <f ca="1">SUMIF(H256:AA325,N328,AA256:AA325)</f>
        <v>21</v>
      </c>
      <c r="AB328" s="1">
        <f ca="1">SUMIF(H256:AB325,N328,AB256:AB325)</f>
        <v>0</v>
      </c>
      <c r="AC328" s="1">
        <f ca="1">SUMIF(H256:AC325,N328,AC256:AC325)</f>
        <v>3</v>
      </c>
      <c r="AD328" s="1">
        <f ca="1">SUMIF(H256:AD325,N328,AD256:AD325)</f>
        <v>24</v>
      </c>
      <c r="AE328" s="3">
        <f t="shared" ca="1" si="233"/>
        <v>0.23300970873786409</v>
      </c>
      <c r="AF328" s="1">
        <f ca="1">SUMIF(H256:AF325,N328,AF256:AF325)</f>
        <v>52</v>
      </c>
      <c r="AG328" s="1">
        <f ca="1">SUMIF(H256:AG325,N328,AG256:AG325)</f>
        <v>0</v>
      </c>
      <c r="AH328" s="1">
        <f ca="1">SUMIF(H256:AH325,N328,AH256:AH325)</f>
        <v>13</v>
      </c>
      <c r="AI328" s="3">
        <f t="shared" ca="1" si="234"/>
        <v>0.6310679611650486</v>
      </c>
      <c r="AJ328" s="1">
        <f ca="1">SUMIF(H256:AJ325,N328,AJ256:AJ325)</f>
        <v>0</v>
      </c>
      <c r="AK328" s="1">
        <f ca="1">SUMIF(H256:AK325,N328,AK256:AK325)</f>
        <v>14</v>
      </c>
      <c r="AL328" s="1">
        <f ca="1">SUMIF(H256:AL325,N328,AL256:AL325)</f>
        <v>0</v>
      </c>
      <c r="AM328" s="3">
        <f t="shared" ca="1" si="235"/>
        <v>0.13592233009708737</v>
      </c>
    </row>
    <row r="329" spans="2:39" x14ac:dyDescent="0.35">
      <c r="J329" t="str">
        <f t="shared" ca="1" si="236"/>
        <v>Mar 2026-RGN-8</v>
      </c>
      <c r="N329" t="s">
        <v>207</v>
      </c>
      <c r="O329" t="str">
        <f t="shared" ca="1" si="237"/>
        <v>RGN-8</v>
      </c>
      <c r="P329">
        <f ca="1">COUNTIFS(T327:T335,T329,Q327:Q335,"&lt;"&amp;Q329)+1</f>
        <v>8</v>
      </c>
      <c r="Q329">
        <f t="shared" ca="1" si="238"/>
        <v>8.0299999999999994</v>
      </c>
      <c r="R329">
        <f>COUNTIFS(T327:T335,T329,V327:V335,"&lt;"&amp;V329)+1</f>
        <v>3</v>
      </c>
      <c r="S329">
        <f ca="1">COUNTIFS(T327:T335,T329,Y327:Y335,"&gt;"&amp;Y329)+1</f>
        <v>8</v>
      </c>
      <c r="T329" t="s">
        <v>205</v>
      </c>
      <c r="V329" t="s">
        <v>207</v>
      </c>
      <c r="W329" s="1">
        <f ca="1">SUMIF(H256:W325,N329,W256:W325)</f>
        <v>49</v>
      </c>
      <c r="X329" s="1">
        <f ca="1">SUMIF(H256:X325,N329,X256:X325)</f>
        <v>0</v>
      </c>
      <c r="Y329" s="3">
        <f ca="1">X329/W329</f>
        <v>0</v>
      </c>
      <c r="Z329" s="1">
        <f ca="1">SUMIF(H256:Z325,N329,Z256:Z325)</f>
        <v>0</v>
      </c>
      <c r="AA329" s="1">
        <f ca="1">SUMIF(H256:AA325,N329,AA256:AA325)</f>
        <v>0</v>
      </c>
      <c r="AB329" s="1">
        <f ca="1">SUMIF(H256:AB325,N329,AB256:AB325)</f>
        <v>0</v>
      </c>
      <c r="AC329" s="1">
        <f ca="1">SUMIF(H256:AC325,N329,AC256:AC325)</f>
        <v>0</v>
      </c>
      <c r="AD329" s="1">
        <f ca="1">SUMIF(H256:AD325,N329,AD256:AD325)</f>
        <v>0</v>
      </c>
      <c r="AE329" s="3">
        <f t="shared" ca="1" si="233"/>
        <v>0</v>
      </c>
      <c r="AF329" s="1">
        <f ca="1">SUMIF(H256:AF325,N329,AF256:AF325)</f>
        <v>11</v>
      </c>
      <c r="AG329" s="1">
        <f ca="1">SUMIF(H256:AG325,N329,AG256:AG325)</f>
        <v>0</v>
      </c>
      <c r="AH329" s="1">
        <f ca="1">SUMIF(H256:AH325,N329,AH256:AH325)</f>
        <v>38</v>
      </c>
      <c r="AI329" s="3">
        <f t="shared" ca="1" si="234"/>
        <v>1</v>
      </c>
      <c r="AJ329" s="1">
        <f ca="1">SUMIF(H256:AJ325,N329,AJ256:AJ325)</f>
        <v>0</v>
      </c>
      <c r="AK329" s="1">
        <f ca="1">SUMIF(H256:AK325,N329,AK256:AK325)</f>
        <v>0</v>
      </c>
      <c r="AL329" s="1">
        <f ca="1">SUMIF(H256:AL325,N329,AL256:AL325)</f>
        <v>0</v>
      </c>
      <c r="AM329" s="3">
        <f t="shared" ca="1" si="235"/>
        <v>0</v>
      </c>
    </row>
    <row r="330" spans="2:39" x14ac:dyDescent="0.35">
      <c r="J330" t="str">
        <f t="shared" ref="J330:J334" ca="1" si="239">$Z$1&amp;"-"&amp;O330</f>
        <v>Mar 2026-RGN-7</v>
      </c>
      <c r="N330" t="s">
        <v>208</v>
      </c>
      <c r="O330" t="str">
        <f t="shared" ref="O330:O334" ca="1" si="240">T330&amp;"-"&amp;P330</f>
        <v>RGN-7</v>
      </c>
      <c r="P330">
        <f ca="1">COUNTIFS(T326:T334,T330,Q326:Q334,"&lt;"&amp;Q330)+1</f>
        <v>7</v>
      </c>
      <c r="Q330">
        <f t="shared" ref="Q330:Q334" ca="1" si="241">S330+(R330/100)</f>
        <v>7.04</v>
      </c>
      <c r="R330">
        <f>COUNTIFS(T326:T334,T330,V326:V334,"&lt;"&amp;V330)+1</f>
        <v>4</v>
      </c>
      <c r="S330">
        <f ca="1">COUNTIFS(T326:T334,T330,Y326:Y334,"&gt;"&amp;Y330)+1</f>
        <v>7</v>
      </c>
      <c r="T330" t="s">
        <v>205</v>
      </c>
      <c r="V330" t="s">
        <v>208</v>
      </c>
      <c r="W330" s="1">
        <f ca="1">SUMIF(H255:W324,N330,W255:W324)</f>
        <v>219</v>
      </c>
      <c r="X330" s="1">
        <f ca="1">SUMIF(H255:X324,N330,X255:X324)</f>
        <v>6</v>
      </c>
      <c r="Y330" s="3">
        <f t="shared" ref="Y330:Y334" ca="1" si="242">X330/W330</f>
        <v>2.7397260273972601E-2</v>
      </c>
      <c r="Z330" s="1">
        <f ca="1">SUMIF(H255:Z324,N330,Z255:Z324)</f>
        <v>0</v>
      </c>
      <c r="AA330" s="1">
        <f ca="1">SUMIF(H255:AA324,N330,AA255:AA324)</f>
        <v>6</v>
      </c>
      <c r="AB330" s="1">
        <f ca="1">SUMIF(H255:AB324,N330,AB255:AB324)</f>
        <v>0</v>
      </c>
      <c r="AC330" s="1">
        <f ca="1">SUMIF(H255:AC324,N330,AC255:AC324)</f>
        <v>3</v>
      </c>
      <c r="AD330" s="1">
        <f ca="1">SUMIF(H255:AD324,N330,AD255:AD324)</f>
        <v>9</v>
      </c>
      <c r="AE330" s="3">
        <f t="shared" ref="AE330:AE334" ca="1" si="243">AD330/W330</f>
        <v>4.1095890410958902E-2</v>
      </c>
      <c r="AF330" s="1">
        <f ca="1">SUMIF(H255:AF324,N330,AF255:AF324)</f>
        <v>75</v>
      </c>
      <c r="AG330" s="1">
        <f ca="1">SUMIF(H255:AG324,N330,AG255:AG324)</f>
        <v>0</v>
      </c>
      <c r="AH330" s="1">
        <f ca="1">SUMIF(H255:AH324,N330,AH255:AH324)</f>
        <v>134</v>
      </c>
      <c r="AI330" s="3">
        <f t="shared" ref="AI330:AI334" ca="1" si="244">(AF330+AG330+AH330)/W330</f>
        <v>0.954337899543379</v>
      </c>
      <c r="AJ330" s="1">
        <f ca="1">SUMIF(H255:AJ324,N330,AJ255:AJ324)</f>
        <v>0</v>
      </c>
      <c r="AK330" s="1">
        <f ca="1">SUMIF(H255:AK324,N330,AK255:AK324)</f>
        <v>1</v>
      </c>
      <c r="AL330" s="1">
        <f ca="1">SUMIF(H255:AL324,N330,AL255:AL324)</f>
        <v>0</v>
      </c>
      <c r="AM330" s="3">
        <f t="shared" ref="AM330:AM334" ca="1" si="245">(AJ330+AK330+AL330)/W330</f>
        <v>4.5662100456621002E-3</v>
      </c>
    </row>
    <row r="331" spans="2:39" x14ac:dyDescent="0.35">
      <c r="J331" t="str">
        <f t="shared" ca="1" si="239"/>
        <v>Mar 2026-RGN-2</v>
      </c>
      <c r="N331" t="s">
        <v>209</v>
      </c>
      <c r="O331" t="str">
        <f t="shared" ca="1" si="240"/>
        <v>RGN-2</v>
      </c>
      <c r="P331">
        <f ca="1">COUNTIFS(T326:T334,T331,Q326:Q334,"&lt;"&amp;Q331)+1</f>
        <v>2</v>
      </c>
      <c r="Q331">
        <f t="shared" ca="1" si="241"/>
        <v>2.0499999999999998</v>
      </c>
      <c r="R331">
        <f>COUNTIFS(T326:T334,T331,V326:V334,"&lt;"&amp;V331)+1</f>
        <v>5</v>
      </c>
      <c r="S331">
        <f ca="1">COUNTIFS(T326:T334,T331,Y326:Y334,"&gt;"&amp;Y331)+1</f>
        <v>2</v>
      </c>
      <c r="T331" t="s">
        <v>205</v>
      </c>
      <c r="V331" t="s">
        <v>209</v>
      </c>
      <c r="W331" s="1">
        <f ca="1">SUMIF(H255:W324,N331,W255:W324)</f>
        <v>338</v>
      </c>
      <c r="X331" s="1">
        <f ca="1">SUMIF(H255:X324,N331,X255:X324)</f>
        <v>42</v>
      </c>
      <c r="Y331" s="3">
        <f t="shared" ca="1" si="242"/>
        <v>0.1242603550295858</v>
      </c>
      <c r="Z331" s="1">
        <f ca="1">SUMIF(H255:Z324,N331,Z255:Z324)</f>
        <v>2</v>
      </c>
      <c r="AA331" s="1">
        <f ca="1">SUMIF(H255:AA324,N331,AA255:AA324)</f>
        <v>42</v>
      </c>
      <c r="AB331" s="1">
        <f ca="1">SUMIF(H255:AB324,N331,AB255:AB324)</f>
        <v>0</v>
      </c>
      <c r="AC331" s="1">
        <f ca="1">SUMIF(H255:AC324,N331,AC255:AC324)</f>
        <v>0</v>
      </c>
      <c r="AD331" s="1">
        <f ca="1">SUMIF(H255:AD324,N331,AD255:AD324)</f>
        <v>44</v>
      </c>
      <c r="AE331" s="3">
        <f t="shared" ca="1" si="243"/>
        <v>0.13017751479289941</v>
      </c>
      <c r="AF331" s="1">
        <f ca="1">SUMIF(H255:AF324,N331,AF255:AF324)</f>
        <v>9</v>
      </c>
      <c r="AG331" s="1">
        <f ca="1">SUMIF(H255:AG324,N331,AG255:AG324)</f>
        <v>0</v>
      </c>
      <c r="AH331" s="1">
        <f ca="1">SUMIF(H255:AH324,N331,AH255:AH324)</f>
        <v>277</v>
      </c>
      <c r="AI331" s="3">
        <f t="shared" ca="1" si="244"/>
        <v>0.84615384615384615</v>
      </c>
      <c r="AJ331" s="1">
        <f ca="1">SUMIF(H255:AJ324,N331,AJ255:AJ324)</f>
        <v>6</v>
      </c>
      <c r="AK331" s="1">
        <f ca="1">SUMIF(H255:AK324,N331,AK255:AK324)</f>
        <v>2</v>
      </c>
      <c r="AL331" s="1">
        <f ca="1">SUMIF(H255:AL324,N331,AL255:AL324)</f>
        <v>0</v>
      </c>
      <c r="AM331" s="3">
        <f t="shared" ca="1" si="245"/>
        <v>2.3668639053254437E-2</v>
      </c>
    </row>
    <row r="332" spans="2:39" x14ac:dyDescent="0.35">
      <c r="J332" t="str">
        <f t="shared" ca="1" si="239"/>
        <v>Mar 2026-RGN-5</v>
      </c>
      <c r="N332" t="s">
        <v>210</v>
      </c>
      <c r="O332" t="str">
        <f t="shared" ca="1" si="240"/>
        <v>RGN-5</v>
      </c>
      <c r="P332">
        <f ca="1">COUNTIFS(T326:T334,T332,Q326:Q334,"&lt;"&amp;Q332)+1</f>
        <v>5</v>
      </c>
      <c r="Q332">
        <f t="shared" ca="1" si="241"/>
        <v>5.0599999999999996</v>
      </c>
      <c r="R332">
        <f>COUNTIFS(T326:T334,T332,V326:V334,"&lt;"&amp;V332)+1</f>
        <v>6</v>
      </c>
      <c r="S332">
        <f ca="1">COUNTIFS(T326:T334,T332,Y326:Y334,"&gt;"&amp;Y332)+1</f>
        <v>5</v>
      </c>
      <c r="T332" t="s">
        <v>205</v>
      </c>
      <c r="V332" t="s">
        <v>210</v>
      </c>
      <c r="W332" s="1">
        <f ca="1">SUMIF(H255:W324,N332,W255:W324)</f>
        <v>203</v>
      </c>
      <c r="X332" s="1">
        <f ca="1">SUMIF(H255:X324,N332,X255:X324)</f>
        <v>10</v>
      </c>
      <c r="Y332" s="3">
        <f t="shared" ca="1" si="242"/>
        <v>4.9261083743842367E-2</v>
      </c>
      <c r="Z332" s="1">
        <f ca="1">SUMIF(H255:Z324,N332,Z255:Z324)</f>
        <v>0</v>
      </c>
      <c r="AA332" s="1">
        <f ca="1">SUMIF(H255:AA324,N332,AA255:AA324)</f>
        <v>10</v>
      </c>
      <c r="AB332" s="1">
        <f ca="1">SUMIF(H255:AB324,N332,AB255:AB324)</f>
        <v>1</v>
      </c>
      <c r="AC332" s="1">
        <f ca="1">SUMIF(H255:AC324,N332,AC255:AC324)</f>
        <v>2</v>
      </c>
      <c r="AD332" s="1">
        <f ca="1">SUMIF(H255:AD324,N332,AD255:AD324)</f>
        <v>13</v>
      </c>
      <c r="AE332" s="3">
        <f t="shared" ca="1" si="243"/>
        <v>6.4039408866995079E-2</v>
      </c>
      <c r="AF332" s="1">
        <f ca="1">SUMIF(H255:AF324,N332,AF255:AF324)</f>
        <v>18</v>
      </c>
      <c r="AG332" s="1">
        <f ca="1">SUMIF(H255:AG324,N332,AG255:AG324)</f>
        <v>0</v>
      </c>
      <c r="AH332" s="1">
        <f ca="1">SUMIF(H255:AH324,N332,AH255:AH324)</f>
        <v>172</v>
      </c>
      <c r="AI332" s="3">
        <f t="shared" ca="1" si="244"/>
        <v>0.93596059113300489</v>
      </c>
      <c r="AJ332" s="1">
        <f ca="1">SUMIF(H255:AJ324,N332,AJ255:AJ324)</f>
        <v>0</v>
      </c>
      <c r="AK332" s="1">
        <f ca="1">SUMIF(H255:AK324,N332,AK255:AK324)</f>
        <v>0</v>
      </c>
      <c r="AL332" s="1">
        <f ca="1">SUMIF(H255:AL324,N332,AL255:AL324)</f>
        <v>0</v>
      </c>
      <c r="AM332" s="3">
        <f t="shared" ca="1" si="245"/>
        <v>0</v>
      </c>
    </row>
    <row r="333" spans="2:39" x14ac:dyDescent="0.35">
      <c r="J333" t="str">
        <f t="shared" ca="1" si="239"/>
        <v>Mar 2026-RGN-3</v>
      </c>
      <c r="N333" t="s">
        <v>211</v>
      </c>
      <c r="O333" t="str">
        <f t="shared" ca="1" si="240"/>
        <v>RGN-3</v>
      </c>
      <c r="P333">
        <f ca="1">COUNTIFS(T326:T334,T333,Q326:Q334,"&lt;"&amp;Q333)+1</f>
        <v>3</v>
      </c>
      <c r="Q333">
        <f t="shared" ca="1" si="241"/>
        <v>3.07</v>
      </c>
      <c r="R333">
        <f>COUNTIFS(T326:T334,T333,V326:V334,"&lt;"&amp;V333)+1</f>
        <v>7</v>
      </c>
      <c r="S333">
        <f ca="1">COUNTIFS(T326:T334,T333,Y326:Y334,"&gt;"&amp;Y333)+1</f>
        <v>3</v>
      </c>
      <c r="T333" t="s">
        <v>205</v>
      </c>
      <c r="V333" t="s">
        <v>211</v>
      </c>
      <c r="W333" s="1">
        <f ca="1">SUMIF(H255:W324,N333,W255:W324)</f>
        <v>159</v>
      </c>
      <c r="X333" s="1">
        <f ca="1">SUMIF(H255:X324,N333,X255:X324)</f>
        <v>16</v>
      </c>
      <c r="Y333" s="3">
        <f t="shared" ca="1" si="242"/>
        <v>0.10062893081761007</v>
      </c>
      <c r="Z333" s="1">
        <f ca="1">SUMIF(H255:Z324,N333,Z255:Z324)</f>
        <v>2</v>
      </c>
      <c r="AA333" s="1">
        <f ca="1">SUMIF(H255:AA324,N333,AA255:AA324)</f>
        <v>16</v>
      </c>
      <c r="AB333" s="1">
        <f ca="1">SUMIF(H255:AB324,N333,AB255:AB324)</f>
        <v>0</v>
      </c>
      <c r="AC333" s="1">
        <f ca="1">SUMIF(H255:AC324,N333,AC255:AC324)</f>
        <v>1</v>
      </c>
      <c r="AD333" s="1">
        <f ca="1">SUMIF(H255:AD324,N333,AD255:AD324)</f>
        <v>19</v>
      </c>
      <c r="AE333" s="3">
        <f t="shared" ca="1" si="243"/>
        <v>0.11949685534591195</v>
      </c>
      <c r="AF333" s="1">
        <f ca="1">SUMIF(H255:AF324,N333,AF255:AF324)</f>
        <v>28</v>
      </c>
      <c r="AG333" s="1">
        <f ca="1">SUMIF(H255:AG324,N333,AG255:AG324)</f>
        <v>4</v>
      </c>
      <c r="AH333" s="1">
        <f ca="1">SUMIF(H255:AH324,N333,AH255:AH324)</f>
        <v>104</v>
      </c>
      <c r="AI333" s="3">
        <f t="shared" ca="1" si="244"/>
        <v>0.85534591194968557</v>
      </c>
      <c r="AJ333" s="1">
        <f ca="1">SUMIF(H255:AJ324,N333,AJ255:AJ324)</f>
        <v>1</v>
      </c>
      <c r="AK333" s="1">
        <f ca="1">SUMIF(H255:AK324,N333,AK255:AK324)</f>
        <v>3</v>
      </c>
      <c r="AL333" s="1">
        <f ca="1">SUMIF(H255:AL324,N333,AL255:AL324)</f>
        <v>0</v>
      </c>
      <c r="AM333" s="3">
        <f t="shared" ca="1" si="245"/>
        <v>2.5157232704402517E-2</v>
      </c>
    </row>
    <row r="334" spans="2:39" x14ac:dyDescent="0.35">
      <c r="J334" t="str">
        <f t="shared" ca="1" si="239"/>
        <v>Mar 2026-RGN-4</v>
      </c>
      <c r="N334" t="s">
        <v>212</v>
      </c>
      <c r="O334" t="str">
        <f t="shared" ca="1" si="240"/>
        <v>RGN-4</v>
      </c>
      <c r="P334">
        <f ca="1">COUNTIFS(T326:T334,T334,Q326:Q334,"&lt;"&amp;Q334)+1</f>
        <v>4</v>
      </c>
      <c r="Q334">
        <f t="shared" ca="1" si="241"/>
        <v>4.08</v>
      </c>
      <c r="R334">
        <f>COUNTIFS(T326:T334,T334,V326:V334,"&lt;"&amp;V334)+1</f>
        <v>8</v>
      </c>
      <c r="S334">
        <f ca="1">COUNTIFS(T326:T334,T334,Y326:Y334,"&gt;"&amp;Y334)+1</f>
        <v>4</v>
      </c>
      <c r="T334" t="s">
        <v>205</v>
      </c>
      <c r="V334" t="s">
        <v>212</v>
      </c>
      <c r="W334" s="1">
        <f ca="1">SUMIF(H255:W324,N334,W255:W324)</f>
        <v>12</v>
      </c>
      <c r="X334" s="1">
        <f ca="1">SUMIF(H255:X324,N334,X255:X324)</f>
        <v>1</v>
      </c>
      <c r="Y334" s="3">
        <f t="shared" ca="1" si="242"/>
        <v>8.3333333333333329E-2</v>
      </c>
      <c r="Z334" s="1">
        <f ca="1">SUMIF(H255:Z324,N334,Z255:Z324)</f>
        <v>1</v>
      </c>
      <c r="AA334" s="1">
        <f ca="1">SUMIF(H255:AA324,N334,AA255:AA324)</f>
        <v>1</v>
      </c>
      <c r="AB334" s="1">
        <f ca="1">SUMIF(H255:AB324,N334,AB255:AB324)</f>
        <v>0</v>
      </c>
      <c r="AC334" s="1">
        <f ca="1">SUMIF(H255:AC324,N334,AC255:AC324)</f>
        <v>2</v>
      </c>
      <c r="AD334" s="1">
        <f ca="1">SUMIF(H255:AD324,N334,AD255:AD324)</f>
        <v>4</v>
      </c>
      <c r="AE334" s="3">
        <f t="shared" ca="1" si="243"/>
        <v>0.33333333333333331</v>
      </c>
      <c r="AF334" s="1">
        <f ca="1">SUMIF(H255:AF324,N334,AF255:AF324)</f>
        <v>8</v>
      </c>
      <c r="AG334" s="1">
        <f ca="1">SUMIF(H255:AG324,N334,AG255:AG324)</f>
        <v>0</v>
      </c>
      <c r="AH334" s="1">
        <f ca="1">SUMIF(H255:AH324,N334,AH255:AH324)</f>
        <v>0</v>
      </c>
      <c r="AI334" s="3">
        <f t="shared" ca="1" si="244"/>
        <v>0.66666666666666663</v>
      </c>
      <c r="AJ334" s="1">
        <f ca="1">SUMIF(H255:AJ324,N334,AJ255:AJ324)</f>
        <v>0</v>
      </c>
      <c r="AK334" s="1">
        <f ca="1">SUMIF(H255:AK324,N334,AK255:AK324)</f>
        <v>0</v>
      </c>
      <c r="AL334" s="1">
        <f ca="1">SUMIF(H255:AL324,N334,AL255:AL324)</f>
        <v>0</v>
      </c>
      <c r="AM334" s="3">
        <f t="shared" ca="1" si="245"/>
        <v>0</v>
      </c>
    </row>
    <row r="337" spans="1:39" ht="16" customHeight="1" x14ac:dyDescent="0.35">
      <c r="A337" s="2"/>
      <c r="B337" s="2"/>
      <c r="C337" s="107" t="str">
        <f>AA1</f>
        <v>Apr 2026</v>
      </c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</row>
    <row r="338" spans="1:39" x14ac:dyDescent="0.35">
      <c r="A338" s="2"/>
      <c r="B338" s="2" t="s">
        <v>128</v>
      </c>
      <c r="C338" s="2"/>
      <c r="D338" s="2"/>
      <c r="E338" s="2"/>
      <c r="F338" s="2"/>
      <c r="G338" s="2"/>
      <c r="H338" s="2"/>
      <c r="I338" s="2" t="s">
        <v>129</v>
      </c>
      <c r="J338" s="2"/>
      <c r="K338" s="2"/>
      <c r="L338" s="2"/>
      <c r="M338" s="2"/>
      <c r="N338" s="2"/>
      <c r="O338" s="2" t="s">
        <v>130</v>
      </c>
      <c r="P338" s="2"/>
      <c r="Q338" s="2"/>
      <c r="R338" s="2"/>
      <c r="S338" s="2"/>
      <c r="T338" s="2"/>
      <c r="U338" s="2"/>
      <c r="V338" s="2" t="s">
        <v>100</v>
      </c>
      <c r="W338" s="2" t="s">
        <v>131</v>
      </c>
      <c r="X338" s="2" t="s">
        <v>132</v>
      </c>
      <c r="Y338" s="2" t="s">
        <v>133</v>
      </c>
      <c r="Z338" s="2" t="s">
        <v>134</v>
      </c>
      <c r="AA338" s="2" t="s">
        <v>132</v>
      </c>
      <c r="AB338" s="2" t="s">
        <v>135</v>
      </c>
      <c r="AC338" s="2" t="s">
        <v>136</v>
      </c>
      <c r="AD338" s="2" t="s">
        <v>137</v>
      </c>
      <c r="AE338" s="2" t="s">
        <v>138</v>
      </c>
      <c r="AF338" s="2" t="s">
        <v>139</v>
      </c>
      <c r="AG338" s="2" t="s">
        <v>140</v>
      </c>
      <c r="AH338" s="2" t="s">
        <v>15</v>
      </c>
      <c r="AI338" s="2" t="s">
        <v>141</v>
      </c>
      <c r="AJ338" s="2" t="s">
        <v>142</v>
      </c>
      <c r="AK338" s="2" t="s">
        <v>143</v>
      </c>
      <c r="AL338" s="2" t="s">
        <v>144</v>
      </c>
      <c r="AM338" s="2" t="s">
        <v>145</v>
      </c>
    </row>
    <row r="339" spans="1:39" x14ac:dyDescent="0.35">
      <c r="B339" t="str">
        <f>IF(V339="","",H339&amp;"-"&amp;D339)</f>
        <v>Arizona-5</v>
      </c>
      <c r="C339" t="str">
        <f>IF(V339="","",$W$1&amp;"-"&amp;B339)</f>
        <v>Dec 2025-Arizona-5</v>
      </c>
      <c r="D339">
        <f t="shared" ref="D339:D370" si="246">IF(V339="","",COUNTIFS($H$339:$H$408,H339,$E$339:$E$408,"&lt;"&amp;E339)+1)</f>
        <v>5</v>
      </c>
      <c r="E339">
        <f>IF(V339="","",G339+(F339/100))</f>
        <v>5.01</v>
      </c>
      <c r="F339">
        <f t="shared" ref="F339:F370" si="247">IF(V339="","",COUNTIFS($H$339:$H$408,H339,$V$339:$V$408,"&lt;"&amp;V339)+1)</f>
        <v>1</v>
      </c>
      <c r="G339">
        <f t="shared" ref="G339:G370" si="248">IF(V339="","",COUNTIFS($H$339:$H$408,H339,$Y$339:$Y$408,"&gt;"&amp;Y339)+1)</f>
        <v>5</v>
      </c>
      <c r="H339" t="str">
        <f>IF(V339="","",IFERROR(VLOOKUP(TRIM($V339),KEY!$B$2:$F$72,3,FALSE),""))</f>
        <v>Arizona</v>
      </c>
      <c r="I339" t="str">
        <f>IF(V339="","","WEST-"&amp;K339)</f>
        <v>WEST-11</v>
      </c>
      <c r="J339" t="str">
        <f>IF(V339="","",$AA$1&amp;"-"&amp;I339)</f>
        <v>Apr 2026-WEST-11</v>
      </c>
      <c r="K339">
        <f t="shared" ref="K339:K370" si="249">IFERROR(IF(V339="","",RANK(L339,$L$339:$L$408,1)),"-")</f>
        <v>11</v>
      </c>
      <c r="L339">
        <f>IFERROR(IF(V339="","",N339+(M339/100)),"-")</f>
        <v>11.01</v>
      </c>
      <c r="M339">
        <f>IF(V339="","",IFERROR(VLOOKUP(TRIM($V339),KEY!$B$2:$F$72,5,FALSE),""))</f>
        <v>1</v>
      </c>
      <c r="N339">
        <f t="shared" ref="N339:N370" si="250">IFERROR(IF(V339="","",RANK(Y339,$Y$339:$Y$408)),"-")</f>
        <v>11</v>
      </c>
      <c r="O339" t="str">
        <f>IF(V339="","",T339&amp;"-"&amp;P339)</f>
        <v>Acura-1</v>
      </c>
      <c r="P339">
        <f>IF(OR(V339="",Q339=""),"",COUNTIFS($T$4:$T$74,T339,$Q$4:$Q$74,"&lt;"&amp;Q339)+1)</f>
        <v>1</v>
      </c>
      <c r="Q339">
        <f>IF(OR(V339="",W339=0),"",S339+(R339/100))</f>
        <v>1.01</v>
      </c>
      <c r="R339">
        <f t="shared" ref="R339:R370" si="251">IF(V339="","",COUNTIFS($T$339:$T$408,T339,$V$339:$V$408,"&lt;"&amp;V339)+1)</f>
        <v>1</v>
      </c>
      <c r="S339">
        <f t="shared" ref="S339:S370" si="252">IF(V339="","",COUNTIFS($T$339:$T$408,T339,$Y$339:$Y$408,"&gt;"&amp;Y339)+1)</f>
        <v>1</v>
      </c>
      <c r="T339" t="str">
        <f>IF(V339="","",IFERROR(VLOOKUP(TRIM($V339),KEY!$B$2:$F$72,2,FALSE),""))</f>
        <v>Acura</v>
      </c>
      <c r="V339" s="78" t="s">
        <v>146</v>
      </c>
      <c r="W339" s="78">
        <v>18</v>
      </c>
      <c r="X339" s="78">
        <v>1</v>
      </c>
      <c r="Y339" s="78">
        <v>6</v>
      </c>
      <c r="Z339" s="78">
        <v>1</v>
      </c>
      <c r="AA339" s="78">
        <v>1</v>
      </c>
      <c r="AB339" s="78">
        <v>0</v>
      </c>
      <c r="AC339" s="78">
        <v>0</v>
      </c>
      <c r="AD339" s="78">
        <v>2</v>
      </c>
      <c r="AE339" s="78">
        <v>11</v>
      </c>
      <c r="AF339" s="78">
        <v>2</v>
      </c>
      <c r="AG339" s="78">
        <v>0</v>
      </c>
      <c r="AH339" s="78">
        <v>14</v>
      </c>
      <c r="AI339" s="78">
        <v>89</v>
      </c>
      <c r="AJ339" s="78">
        <v>0</v>
      </c>
      <c r="AK339" s="78">
        <v>0</v>
      </c>
      <c r="AL339" s="78">
        <v>0</v>
      </c>
      <c r="AM339" s="78">
        <v>0</v>
      </c>
    </row>
    <row r="340" spans="1:39" x14ac:dyDescent="0.35">
      <c r="B340" t="str">
        <f t="shared" ref="B340:B408" si="253">IF(V340="","",H340&amp;"-"&amp;D340)</f>
        <v>Arizona-13</v>
      </c>
      <c r="C340" t="str">
        <f t="shared" ref="C340:C408" si="254">IF(V340="","",$W$1&amp;"-"&amp;B340)</f>
        <v>Dec 2025-Arizona-13</v>
      </c>
      <c r="D340">
        <f t="shared" si="246"/>
        <v>13</v>
      </c>
      <c r="E340">
        <f t="shared" ref="E340:E408" si="255">IF(V340="","",G340+(F340/100))</f>
        <v>6.13</v>
      </c>
      <c r="F340">
        <f t="shared" si="247"/>
        <v>13</v>
      </c>
      <c r="G340">
        <f t="shared" si="248"/>
        <v>6</v>
      </c>
      <c r="H340" t="str">
        <f>IF(V340="","",IFERROR(VLOOKUP(TRIM($V340),KEY!$B$2:$F$72,3,FALSE),""))</f>
        <v>Arizona</v>
      </c>
      <c r="I340" t="str">
        <f t="shared" ref="I340:I408" si="256">IF(V340="","","WEST-"&amp;K340)</f>
        <v>WEST-52</v>
      </c>
      <c r="J340" t="str">
        <f t="shared" ref="J340:J408" si="257">IF(V340="","",$AA$1&amp;"-"&amp;I340)</f>
        <v>Apr 2026-WEST-52</v>
      </c>
      <c r="K340">
        <f t="shared" si="249"/>
        <v>52</v>
      </c>
      <c r="L340">
        <f t="shared" ref="L340:L408" si="258">IFERROR(IF(V340="","",N340+(M340/100)),"-")</f>
        <v>18.57</v>
      </c>
      <c r="M340">
        <f>IF(V340="","",IFERROR(VLOOKUP(TRIM($V340),KEY!$B$2:$F$72,5,FALSE),""))</f>
        <v>57</v>
      </c>
      <c r="N340">
        <f t="shared" si="250"/>
        <v>18</v>
      </c>
      <c r="O340" t="str">
        <f t="shared" ref="O340:O408" si="259">IF(V340="","",T340&amp;"-"&amp;P340)</f>
        <v>Honda-3</v>
      </c>
      <c r="P340">
        <f t="shared" ref="P340:P402" si="260">IF(OR(V340="",Q340=""),"",COUNTIFS($T$4:$T$74,T340,$Q$4:$Q$74,"&lt;"&amp;Q340)+1)</f>
        <v>3</v>
      </c>
      <c r="Q340">
        <f t="shared" ref="Q340:Q402" si="261">IF(OR(V340="",W340=0),"",S340+(R340/100))</f>
        <v>2.0699999999999998</v>
      </c>
      <c r="R340">
        <f t="shared" si="251"/>
        <v>7</v>
      </c>
      <c r="S340">
        <f t="shared" si="252"/>
        <v>2</v>
      </c>
      <c r="T340" t="str">
        <f>IF(V340="","",IFERROR(VLOOKUP(TRIM($V340),KEY!$B$2:$F$72,2,FALSE),""))</f>
        <v>Honda</v>
      </c>
      <c r="V340" s="78" t="s">
        <v>147</v>
      </c>
      <c r="W340" s="78">
        <v>29</v>
      </c>
      <c r="X340" s="78">
        <v>0</v>
      </c>
      <c r="Y340" s="78">
        <v>0</v>
      </c>
      <c r="Z340" s="78">
        <v>0</v>
      </c>
      <c r="AA340" s="78">
        <v>0</v>
      </c>
      <c r="AB340" s="78">
        <v>0</v>
      </c>
      <c r="AC340" s="78">
        <v>0</v>
      </c>
      <c r="AD340" s="78">
        <v>0</v>
      </c>
      <c r="AE340" s="78">
        <v>0</v>
      </c>
      <c r="AF340" s="78">
        <v>0</v>
      </c>
      <c r="AG340" s="78">
        <v>0</v>
      </c>
      <c r="AH340" s="78">
        <v>29</v>
      </c>
      <c r="AI340" s="78">
        <v>100</v>
      </c>
      <c r="AJ340" s="78">
        <v>0</v>
      </c>
      <c r="AK340" s="78">
        <v>0</v>
      </c>
      <c r="AL340" s="78">
        <v>0</v>
      </c>
      <c r="AM340" s="78">
        <v>0</v>
      </c>
    </row>
    <row r="341" spans="1:39" x14ac:dyDescent="0.35">
      <c r="B341" t="str">
        <f t="shared" si="253"/>
        <v>Arizona-15</v>
      </c>
      <c r="C341" t="str">
        <f t="shared" si="254"/>
        <v>Dec 2025-Arizona-15</v>
      </c>
      <c r="D341">
        <f t="shared" si="246"/>
        <v>15</v>
      </c>
      <c r="E341">
        <f t="shared" si="255"/>
        <v>6.15</v>
      </c>
      <c r="F341">
        <f t="shared" si="247"/>
        <v>15</v>
      </c>
      <c r="G341">
        <f t="shared" si="248"/>
        <v>6</v>
      </c>
      <c r="H341" t="str">
        <f>IF(V341="","",IFERROR(VLOOKUP(TRIM($V341),KEY!$B$2:$F$72,3,FALSE),""))</f>
        <v>Arizona</v>
      </c>
      <c r="I341" t="str">
        <f t="shared" si="256"/>
        <v>WEST-55</v>
      </c>
      <c r="J341" t="str">
        <f t="shared" si="257"/>
        <v>Apr 2026-WEST-55</v>
      </c>
      <c r="K341">
        <f t="shared" si="249"/>
        <v>55</v>
      </c>
      <c r="L341">
        <f t="shared" si="258"/>
        <v>18.61</v>
      </c>
      <c r="M341">
        <f>IF(V341="","",IFERROR(VLOOKUP(TRIM($V341),KEY!$B$2:$F$72,5,FALSE),""))</f>
        <v>61</v>
      </c>
      <c r="N341">
        <f t="shared" si="250"/>
        <v>18</v>
      </c>
      <c r="O341" t="str">
        <f t="shared" si="259"/>
        <v>Volkswagen-2</v>
      </c>
      <c r="P341">
        <f t="shared" si="260"/>
        <v>2</v>
      </c>
      <c r="Q341">
        <f t="shared" si="261"/>
        <v>2.0099999999999998</v>
      </c>
      <c r="R341">
        <f t="shared" si="251"/>
        <v>1</v>
      </c>
      <c r="S341">
        <f t="shared" si="252"/>
        <v>2</v>
      </c>
      <c r="T341" t="str">
        <f>IF(V341="","",IFERROR(VLOOKUP(TRIM($V341),KEY!$B$2:$F$72,2,FALSE),""))</f>
        <v>Volkswagen</v>
      </c>
      <c r="V341" s="78" t="s">
        <v>151</v>
      </c>
      <c r="W341" s="78">
        <v>11</v>
      </c>
      <c r="X341" s="78">
        <v>0</v>
      </c>
      <c r="Y341" s="78">
        <v>0</v>
      </c>
      <c r="Z341" s="78">
        <v>0</v>
      </c>
      <c r="AA341" s="78">
        <v>0</v>
      </c>
      <c r="AB341" s="78">
        <v>0</v>
      </c>
      <c r="AC341" s="78">
        <v>0</v>
      </c>
      <c r="AD341" s="78">
        <v>0</v>
      </c>
      <c r="AE341" s="78">
        <v>0</v>
      </c>
      <c r="AF341" s="78">
        <v>0</v>
      </c>
      <c r="AG341" s="78">
        <v>0</v>
      </c>
      <c r="AH341" s="78">
        <v>11</v>
      </c>
      <c r="AI341" s="78">
        <v>100</v>
      </c>
      <c r="AJ341" s="78">
        <v>0</v>
      </c>
      <c r="AK341" s="78">
        <v>0</v>
      </c>
      <c r="AL341" s="78">
        <v>0</v>
      </c>
      <c r="AM341" s="78">
        <v>0</v>
      </c>
    </row>
    <row r="342" spans="1:39" x14ac:dyDescent="0.35">
      <c r="B342" t="str">
        <f t="shared" si="253"/>
        <v>Arizona-9</v>
      </c>
      <c r="C342" t="str">
        <f t="shared" si="254"/>
        <v>Dec 2025-Arizona-9</v>
      </c>
      <c r="D342">
        <f t="shared" si="246"/>
        <v>9</v>
      </c>
      <c r="E342">
        <f t="shared" si="255"/>
        <v>6.07</v>
      </c>
      <c r="F342">
        <f t="shared" si="247"/>
        <v>7</v>
      </c>
      <c r="G342">
        <f t="shared" si="248"/>
        <v>6</v>
      </c>
      <c r="H342" t="str">
        <f>IF(V342="","",IFERROR(VLOOKUP(TRIM($V342),KEY!$B$2:$F$72,3,FALSE),""))</f>
        <v>Arizona</v>
      </c>
      <c r="I342" t="str">
        <f t="shared" si="256"/>
        <v>WEST-35</v>
      </c>
      <c r="J342" t="str">
        <f t="shared" si="257"/>
        <v>Apr 2026-WEST-35</v>
      </c>
      <c r="K342">
        <f t="shared" si="249"/>
        <v>35</v>
      </c>
      <c r="L342">
        <f t="shared" si="258"/>
        <v>18.309999999999999</v>
      </c>
      <c r="M342">
        <f>IF(V342="","",IFERROR(VLOOKUP(TRIM($V342),KEY!$B$2:$F$72,5,FALSE),""))</f>
        <v>31</v>
      </c>
      <c r="N342">
        <f t="shared" si="250"/>
        <v>18</v>
      </c>
      <c r="O342" t="str">
        <f t="shared" si="259"/>
        <v>Lexus-1</v>
      </c>
      <c r="P342">
        <f t="shared" si="260"/>
        <v>1</v>
      </c>
      <c r="Q342">
        <f t="shared" si="261"/>
        <v>1.02</v>
      </c>
      <c r="R342">
        <f t="shared" si="251"/>
        <v>2</v>
      </c>
      <c r="S342">
        <f t="shared" si="252"/>
        <v>1</v>
      </c>
      <c r="T342" t="str">
        <f>IF(V342="","",IFERROR(VLOOKUP(TRIM($V342),KEY!$B$2:$F$72,2,FALSE),""))</f>
        <v>Lexus</v>
      </c>
      <c r="V342" s="78" t="s">
        <v>148</v>
      </c>
      <c r="W342" s="78">
        <v>3</v>
      </c>
      <c r="X342" s="78">
        <v>0</v>
      </c>
      <c r="Y342" s="78">
        <v>0</v>
      </c>
      <c r="Z342" s="78">
        <v>0</v>
      </c>
      <c r="AA342" s="78">
        <v>0</v>
      </c>
      <c r="AB342" s="78">
        <v>0</v>
      </c>
      <c r="AC342" s="78">
        <v>0</v>
      </c>
      <c r="AD342" s="78">
        <v>0</v>
      </c>
      <c r="AE342" s="78">
        <v>0</v>
      </c>
      <c r="AF342" s="78">
        <v>0</v>
      </c>
      <c r="AG342" s="78">
        <v>0</v>
      </c>
      <c r="AH342" s="78">
        <v>3</v>
      </c>
      <c r="AI342" s="78">
        <v>100</v>
      </c>
      <c r="AJ342" s="78">
        <v>0</v>
      </c>
      <c r="AK342" s="78">
        <v>0</v>
      </c>
      <c r="AL342" s="78">
        <v>0</v>
      </c>
      <c r="AM342" s="78">
        <v>0</v>
      </c>
    </row>
    <row r="343" spans="1:39" x14ac:dyDescent="0.35">
      <c r="B343" t="str">
        <f t="shared" si="253"/>
        <v>Arizona-14</v>
      </c>
      <c r="C343" t="str">
        <f t="shared" si="254"/>
        <v>Dec 2025-Arizona-14</v>
      </c>
      <c r="D343">
        <f t="shared" si="246"/>
        <v>14</v>
      </c>
      <c r="E343">
        <f t="shared" si="255"/>
        <v>6.14</v>
      </c>
      <c r="F343">
        <f t="shared" si="247"/>
        <v>14</v>
      </c>
      <c r="G343">
        <f t="shared" si="248"/>
        <v>6</v>
      </c>
      <c r="H343" t="str">
        <f>IF(V343="","",IFERROR(VLOOKUP(TRIM($V343),KEY!$B$2:$F$72,3,FALSE),""))</f>
        <v>Arizona</v>
      </c>
      <c r="I343" t="str">
        <f t="shared" si="256"/>
        <v>WEST-54</v>
      </c>
      <c r="J343" t="str">
        <f t="shared" si="257"/>
        <v>Apr 2026-WEST-54</v>
      </c>
      <c r="K343">
        <f t="shared" si="249"/>
        <v>54</v>
      </c>
      <c r="L343">
        <f t="shared" si="258"/>
        <v>18.600000000000001</v>
      </c>
      <c r="M343">
        <f>IF(V343="","",IFERROR(VLOOKUP(TRIM($V343),KEY!$B$2:$F$72,5,FALSE),""))</f>
        <v>60</v>
      </c>
      <c r="N343">
        <f t="shared" si="250"/>
        <v>18</v>
      </c>
      <c r="O343" t="str">
        <f t="shared" si="259"/>
        <v>Toyota-4</v>
      </c>
      <c r="P343">
        <f t="shared" si="260"/>
        <v>4</v>
      </c>
      <c r="Q343">
        <f t="shared" si="261"/>
        <v>3.05</v>
      </c>
      <c r="R343">
        <f t="shared" si="251"/>
        <v>5</v>
      </c>
      <c r="S343">
        <f t="shared" si="252"/>
        <v>3</v>
      </c>
      <c r="T343" t="str">
        <f>IF(V343="","",IFERROR(VLOOKUP(TRIM($V343),KEY!$B$2:$F$72,2,FALSE),""))</f>
        <v>Toyota</v>
      </c>
      <c r="V343" s="78" t="s">
        <v>149</v>
      </c>
      <c r="W343" s="78">
        <v>14</v>
      </c>
      <c r="X343" s="78">
        <v>0</v>
      </c>
      <c r="Y343" s="78">
        <v>0</v>
      </c>
      <c r="Z343" s="78">
        <v>0</v>
      </c>
      <c r="AA343" s="78">
        <v>0</v>
      </c>
      <c r="AB343" s="78">
        <v>0</v>
      </c>
      <c r="AC343" s="78">
        <v>0</v>
      </c>
      <c r="AD343" s="78">
        <v>0</v>
      </c>
      <c r="AE343" s="78">
        <v>0</v>
      </c>
      <c r="AF343" s="78">
        <v>0</v>
      </c>
      <c r="AG343" s="78">
        <v>0</v>
      </c>
      <c r="AH343" s="78">
        <v>14</v>
      </c>
      <c r="AI343" s="78">
        <v>100</v>
      </c>
      <c r="AJ343" s="78">
        <v>0</v>
      </c>
      <c r="AK343" s="78">
        <v>0</v>
      </c>
      <c r="AL343" s="78">
        <v>0</v>
      </c>
      <c r="AM343" s="78">
        <v>0</v>
      </c>
    </row>
    <row r="344" spans="1:39" x14ac:dyDescent="0.35">
      <c r="B344" t="str">
        <f t="shared" si="253"/>
        <v>Arizona-7</v>
      </c>
      <c r="C344" t="str">
        <f t="shared" si="254"/>
        <v>Dec 2025-Arizona-7</v>
      </c>
      <c r="D344">
        <f t="shared" si="246"/>
        <v>7</v>
      </c>
      <c r="E344">
        <f t="shared" si="255"/>
        <v>6.04</v>
      </c>
      <c r="F344">
        <f t="shared" si="247"/>
        <v>4</v>
      </c>
      <c r="G344">
        <f t="shared" si="248"/>
        <v>6</v>
      </c>
      <c r="H344" t="str">
        <f>IF(V344="","",IFERROR(VLOOKUP(TRIM($V344),KEY!$B$2:$F$72,3,FALSE),""))</f>
        <v>Arizona</v>
      </c>
      <c r="I344" t="str">
        <f t="shared" si="256"/>
        <v>WEST-22</v>
      </c>
      <c r="J344" t="str">
        <f t="shared" si="257"/>
        <v>Apr 2026-WEST-22</v>
      </c>
      <c r="K344">
        <f t="shared" si="249"/>
        <v>22</v>
      </c>
      <c r="L344">
        <f t="shared" si="258"/>
        <v>18.11</v>
      </c>
      <c r="M344">
        <f>IF(V344="","",IFERROR(VLOOKUP(TRIM($V344),KEY!$B$2:$F$72,5,FALSE),""))</f>
        <v>11</v>
      </c>
      <c r="N344">
        <f t="shared" si="250"/>
        <v>18</v>
      </c>
      <c r="O344" t="str">
        <f t="shared" si="259"/>
        <v>BMW-4</v>
      </c>
      <c r="P344">
        <f t="shared" si="260"/>
        <v>4</v>
      </c>
      <c r="Q344">
        <f t="shared" si="261"/>
        <v>4.01</v>
      </c>
      <c r="R344">
        <f t="shared" si="251"/>
        <v>1</v>
      </c>
      <c r="S344">
        <f t="shared" si="252"/>
        <v>4</v>
      </c>
      <c r="T344" t="str">
        <f>IF(V344="","",IFERROR(VLOOKUP(TRIM($V344),KEY!$B$2:$F$72,2,FALSE),""))</f>
        <v>BMW</v>
      </c>
      <c r="V344" s="78" t="s">
        <v>150</v>
      </c>
      <c r="W344" s="78">
        <v>43</v>
      </c>
      <c r="X344" s="78">
        <v>0</v>
      </c>
      <c r="Y344" s="78">
        <v>0</v>
      </c>
      <c r="Z344" s="78">
        <v>0</v>
      </c>
      <c r="AA344" s="78">
        <v>0</v>
      </c>
      <c r="AB344" s="78">
        <v>0</v>
      </c>
      <c r="AC344" s="78">
        <v>0</v>
      </c>
      <c r="AD344" s="78">
        <v>0</v>
      </c>
      <c r="AE344" s="78">
        <v>0</v>
      </c>
      <c r="AF344" s="78">
        <v>0</v>
      </c>
      <c r="AG344" s="78">
        <v>0</v>
      </c>
      <c r="AH344" s="78">
        <v>43</v>
      </c>
      <c r="AI344" s="78">
        <v>100</v>
      </c>
      <c r="AJ344" s="78">
        <v>0</v>
      </c>
      <c r="AK344" s="78">
        <v>0</v>
      </c>
      <c r="AL344" s="78">
        <v>0</v>
      </c>
      <c r="AM344" s="78">
        <v>0</v>
      </c>
    </row>
    <row r="345" spans="1:39" x14ac:dyDescent="0.35">
      <c r="B345" t="str">
        <f t="shared" si="253"/>
        <v>Arizona-2</v>
      </c>
      <c r="C345" t="str">
        <f t="shared" si="254"/>
        <v>Dec 2025-Arizona-2</v>
      </c>
      <c r="D345">
        <f t="shared" si="246"/>
        <v>2</v>
      </c>
      <c r="E345">
        <f t="shared" si="255"/>
        <v>2.09</v>
      </c>
      <c r="F345">
        <f t="shared" si="247"/>
        <v>9</v>
      </c>
      <c r="G345">
        <f t="shared" si="248"/>
        <v>2</v>
      </c>
      <c r="H345" t="str">
        <f>IF(V345="","",IFERROR(VLOOKUP(TRIM($V345),KEY!$B$2:$F$72,3,FALSE),""))</f>
        <v>Arizona</v>
      </c>
      <c r="I345" t="str">
        <f t="shared" si="256"/>
        <v>WEST-4</v>
      </c>
      <c r="J345" t="str">
        <f t="shared" si="257"/>
        <v>Apr 2026-WEST-4</v>
      </c>
      <c r="K345">
        <f t="shared" si="249"/>
        <v>4</v>
      </c>
      <c r="L345">
        <f t="shared" si="258"/>
        <v>4.37</v>
      </c>
      <c r="M345">
        <f>IF(V345="","",IFERROR(VLOOKUP(TRIM($V345),KEY!$B$2:$F$72,5,FALSE),""))</f>
        <v>37</v>
      </c>
      <c r="N345">
        <f t="shared" si="250"/>
        <v>4</v>
      </c>
      <c r="O345" t="str">
        <f t="shared" si="259"/>
        <v>Mercedes-Benz-1</v>
      </c>
      <c r="P345">
        <f t="shared" si="260"/>
        <v>1</v>
      </c>
      <c r="Q345">
        <f t="shared" si="261"/>
        <v>1.02</v>
      </c>
      <c r="R345">
        <f t="shared" si="251"/>
        <v>2</v>
      </c>
      <c r="S345">
        <f t="shared" si="252"/>
        <v>1</v>
      </c>
      <c r="T345" t="str">
        <f>IF(V345="","",IFERROR(VLOOKUP(TRIM($V345),KEY!$B$2:$F$72,2,FALSE),""))</f>
        <v>Mercedes-Benz</v>
      </c>
      <c r="V345" s="78" t="s">
        <v>153</v>
      </c>
      <c r="W345" s="78">
        <v>11</v>
      </c>
      <c r="X345" s="78">
        <v>2</v>
      </c>
      <c r="Y345" s="78">
        <v>18</v>
      </c>
      <c r="Z345" s="78">
        <v>0</v>
      </c>
      <c r="AA345" s="78">
        <v>2</v>
      </c>
      <c r="AB345" s="78">
        <v>0</v>
      </c>
      <c r="AC345" s="78">
        <v>0</v>
      </c>
      <c r="AD345" s="78">
        <v>2</v>
      </c>
      <c r="AE345" s="78">
        <v>18</v>
      </c>
      <c r="AF345" s="78">
        <v>0</v>
      </c>
      <c r="AG345" s="78">
        <v>0</v>
      </c>
      <c r="AH345" s="78">
        <v>6</v>
      </c>
      <c r="AI345" s="78">
        <v>55</v>
      </c>
      <c r="AJ345" s="78">
        <v>0</v>
      </c>
      <c r="AK345" s="78">
        <v>3</v>
      </c>
      <c r="AL345" s="78">
        <v>0</v>
      </c>
      <c r="AM345" s="78">
        <v>27</v>
      </c>
    </row>
    <row r="346" spans="1:39" x14ac:dyDescent="0.35">
      <c r="B346" t="str">
        <f t="shared" si="253"/>
        <v>Arizona-3</v>
      </c>
      <c r="C346" t="str">
        <f t="shared" si="254"/>
        <v>Dec 2025-Arizona-3</v>
      </c>
      <c r="D346">
        <f t="shared" si="246"/>
        <v>3</v>
      </c>
      <c r="E346">
        <f t="shared" si="255"/>
        <v>3.08</v>
      </c>
      <c r="F346">
        <f t="shared" si="247"/>
        <v>8</v>
      </c>
      <c r="G346">
        <f t="shared" si="248"/>
        <v>3</v>
      </c>
      <c r="H346" t="str">
        <f>IF(V346="","",IFERROR(VLOOKUP(TRIM($V346),KEY!$B$2:$F$72,3,FALSE),""))</f>
        <v>Arizona</v>
      </c>
      <c r="I346" t="str">
        <f t="shared" si="256"/>
        <v>WEST-5</v>
      </c>
      <c r="J346" t="str">
        <f t="shared" si="257"/>
        <v>Apr 2026-WEST-5</v>
      </c>
      <c r="K346">
        <f t="shared" si="249"/>
        <v>5</v>
      </c>
      <c r="L346">
        <f t="shared" si="258"/>
        <v>5.36</v>
      </c>
      <c r="M346">
        <f>IF(V346="","",IFERROR(VLOOKUP(TRIM($V346),KEY!$B$2:$F$72,5,FALSE),""))</f>
        <v>36</v>
      </c>
      <c r="N346">
        <f t="shared" si="250"/>
        <v>5</v>
      </c>
      <c r="O346" t="str">
        <f t="shared" si="259"/>
        <v>Mercedes-Benz-2</v>
      </c>
      <c r="P346">
        <f t="shared" si="260"/>
        <v>2</v>
      </c>
      <c r="Q346">
        <f t="shared" si="261"/>
        <v>2.0099999999999998</v>
      </c>
      <c r="R346">
        <f t="shared" si="251"/>
        <v>1</v>
      </c>
      <c r="S346">
        <f t="shared" si="252"/>
        <v>2</v>
      </c>
      <c r="T346" t="str">
        <f>IF(V346="","",IFERROR(VLOOKUP(TRIM($V346),KEY!$B$2:$F$72,2,FALSE),""))</f>
        <v>Mercedes-Benz</v>
      </c>
      <c r="V346" s="78" t="s">
        <v>152</v>
      </c>
      <c r="W346" s="78">
        <v>6</v>
      </c>
      <c r="X346" s="78">
        <v>1</v>
      </c>
      <c r="Y346" s="78">
        <v>17</v>
      </c>
      <c r="Z346" s="78">
        <v>0</v>
      </c>
      <c r="AA346" s="78">
        <v>1</v>
      </c>
      <c r="AB346" s="78">
        <v>0</v>
      </c>
      <c r="AC346" s="78">
        <v>0</v>
      </c>
      <c r="AD346" s="78">
        <v>1</v>
      </c>
      <c r="AE346" s="78">
        <v>17</v>
      </c>
      <c r="AF346" s="78">
        <v>4</v>
      </c>
      <c r="AG346" s="78">
        <v>0</v>
      </c>
      <c r="AH346" s="78">
        <v>0</v>
      </c>
      <c r="AI346" s="78">
        <v>67</v>
      </c>
      <c r="AJ346" s="78">
        <v>0</v>
      </c>
      <c r="AK346" s="78">
        <v>1</v>
      </c>
      <c r="AL346" s="78">
        <v>0</v>
      </c>
      <c r="AM346" s="78">
        <v>17</v>
      </c>
    </row>
    <row r="347" spans="1:39" x14ac:dyDescent="0.35">
      <c r="B347" t="str">
        <f t="shared" si="253"/>
        <v>Arizona-1</v>
      </c>
      <c r="C347" t="str">
        <f t="shared" si="254"/>
        <v>Dec 2025-Arizona-1</v>
      </c>
      <c r="D347">
        <f t="shared" si="246"/>
        <v>1</v>
      </c>
      <c r="E347">
        <f t="shared" si="255"/>
        <v>1.06</v>
      </c>
      <c r="F347">
        <f t="shared" si="247"/>
        <v>6</v>
      </c>
      <c r="G347">
        <f t="shared" si="248"/>
        <v>1</v>
      </c>
      <c r="H347" t="str">
        <f>IF(V347="","",IFERROR(VLOOKUP(TRIM($V347),KEY!$B$2:$F$72,3,FALSE),""))</f>
        <v>Arizona</v>
      </c>
      <c r="I347" t="str">
        <f t="shared" si="256"/>
        <v>WEST-1</v>
      </c>
      <c r="J347" t="str">
        <f t="shared" si="257"/>
        <v>Apr 2026-WEST-1</v>
      </c>
      <c r="K347">
        <f t="shared" si="249"/>
        <v>1</v>
      </c>
      <c r="L347">
        <f t="shared" si="258"/>
        <v>1.29</v>
      </c>
      <c r="M347">
        <f>IF(V347="","",IFERROR(VLOOKUP(TRIM($V347),KEY!$B$2:$F$72,5,FALSE),""))</f>
        <v>29</v>
      </c>
      <c r="N347">
        <f t="shared" si="250"/>
        <v>1</v>
      </c>
      <c r="O347" t="str">
        <f t="shared" si="259"/>
        <v>LR-1</v>
      </c>
      <c r="P347">
        <f t="shared" si="260"/>
        <v>1</v>
      </c>
      <c r="Q347">
        <f t="shared" si="261"/>
        <v>1.02</v>
      </c>
      <c r="R347">
        <f t="shared" si="251"/>
        <v>2</v>
      </c>
      <c r="S347">
        <f t="shared" si="252"/>
        <v>1</v>
      </c>
      <c r="T347" t="str">
        <f>IF(V347="","",IFERROR(VLOOKUP(TRIM($V347),KEY!$B$2:$F$72,2,FALSE),""))</f>
        <v>LR</v>
      </c>
      <c r="V347" s="78" t="s">
        <v>154</v>
      </c>
      <c r="W347" s="78">
        <v>4</v>
      </c>
      <c r="X347" s="78">
        <v>1</v>
      </c>
      <c r="Y347" s="78">
        <v>25</v>
      </c>
      <c r="Z347" s="78">
        <v>0</v>
      </c>
      <c r="AA347" s="78">
        <v>1</v>
      </c>
      <c r="AB347" s="78">
        <v>0</v>
      </c>
      <c r="AC347" s="78">
        <v>0</v>
      </c>
      <c r="AD347" s="78">
        <v>1</v>
      </c>
      <c r="AE347" s="78">
        <v>25</v>
      </c>
      <c r="AF347" s="78">
        <v>0</v>
      </c>
      <c r="AG347" s="78">
        <v>0</v>
      </c>
      <c r="AH347" s="78">
        <v>3</v>
      </c>
      <c r="AI347" s="78">
        <v>75</v>
      </c>
      <c r="AJ347" s="78">
        <v>0</v>
      </c>
      <c r="AK347" s="78">
        <v>0</v>
      </c>
      <c r="AL347" s="78">
        <v>0</v>
      </c>
      <c r="AM347" s="78">
        <v>0</v>
      </c>
    </row>
    <row r="348" spans="1:39" x14ac:dyDescent="0.35">
      <c r="B348" t="str">
        <f t="shared" si="253"/>
        <v>Arizona-8</v>
      </c>
      <c r="C348" t="str">
        <f t="shared" si="254"/>
        <v>Dec 2025-Arizona-8</v>
      </c>
      <c r="D348">
        <f t="shared" si="246"/>
        <v>8</v>
      </c>
      <c r="E348">
        <f t="shared" si="255"/>
        <v>6.05</v>
      </c>
      <c r="F348">
        <f t="shared" si="247"/>
        <v>5</v>
      </c>
      <c r="G348">
        <f t="shared" si="248"/>
        <v>6</v>
      </c>
      <c r="H348" t="str">
        <f>IF(V348="","",IFERROR(VLOOKUP(TRIM($V348),KEY!$B$2:$F$72,3,FALSE),""))</f>
        <v>Arizona</v>
      </c>
      <c r="I348" t="str">
        <f t="shared" si="256"/>
        <v>WEST-33</v>
      </c>
      <c r="J348" t="str">
        <f t="shared" si="257"/>
        <v>Apr 2026-WEST-33</v>
      </c>
      <c r="K348">
        <f t="shared" si="249"/>
        <v>33</v>
      </c>
      <c r="L348">
        <f t="shared" si="258"/>
        <v>18.28</v>
      </c>
      <c r="M348">
        <f>IF(V348="","",IFERROR(VLOOKUP(TRIM($V348),KEY!$B$2:$F$72,5,FALSE),""))</f>
        <v>28</v>
      </c>
      <c r="N348">
        <f t="shared" si="250"/>
        <v>18</v>
      </c>
      <c r="O348" t="str">
        <f t="shared" si="259"/>
        <v>LR-2</v>
      </c>
      <c r="P348">
        <f t="shared" si="260"/>
        <v>2</v>
      </c>
      <c r="Q348">
        <f t="shared" si="261"/>
        <v>2.0099999999999998</v>
      </c>
      <c r="R348">
        <f t="shared" si="251"/>
        <v>1</v>
      </c>
      <c r="S348">
        <f t="shared" si="252"/>
        <v>2</v>
      </c>
      <c r="T348" t="str">
        <f>IF(V348="","",IFERROR(VLOOKUP(TRIM($V348),KEY!$B$2:$F$72,2,FALSE),""))</f>
        <v>LR</v>
      </c>
      <c r="V348" s="78" t="s">
        <v>155</v>
      </c>
      <c r="W348" s="78">
        <v>1</v>
      </c>
      <c r="X348" s="78">
        <v>0</v>
      </c>
      <c r="Y348" s="78">
        <v>0</v>
      </c>
      <c r="Z348" s="78">
        <v>0</v>
      </c>
      <c r="AA348" s="78">
        <v>0</v>
      </c>
      <c r="AB348" s="78">
        <v>0</v>
      </c>
      <c r="AC348" s="78">
        <v>0</v>
      </c>
      <c r="AD348" s="78">
        <v>0</v>
      </c>
      <c r="AE348" s="78">
        <v>0</v>
      </c>
      <c r="AF348" s="78">
        <v>1</v>
      </c>
      <c r="AG348" s="78">
        <v>0</v>
      </c>
      <c r="AH348" s="78">
        <v>0</v>
      </c>
      <c r="AI348" s="78">
        <v>100</v>
      </c>
      <c r="AJ348" s="78">
        <v>0</v>
      </c>
      <c r="AK348" s="78">
        <v>0</v>
      </c>
      <c r="AL348" s="78">
        <v>0</v>
      </c>
      <c r="AM348" s="78">
        <v>0</v>
      </c>
    </row>
    <row r="349" spans="1:39" x14ac:dyDescent="0.35">
      <c r="B349" t="str">
        <f t="shared" si="253"/>
        <v>Arizona-6</v>
      </c>
      <c r="C349" t="str">
        <f t="shared" si="254"/>
        <v>Dec 2025-Arizona-6</v>
      </c>
      <c r="D349">
        <f t="shared" si="246"/>
        <v>6</v>
      </c>
      <c r="E349">
        <f t="shared" si="255"/>
        <v>6.03</v>
      </c>
      <c r="F349">
        <f t="shared" si="247"/>
        <v>3</v>
      </c>
      <c r="G349">
        <f t="shared" si="248"/>
        <v>6</v>
      </c>
      <c r="H349" t="str">
        <f>IF(V349="","",IFERROR(VLOOKUP(TRIM($V349),KEY!$B$2:$F$72,3,FALSE),""))</f>
        <v>Arizona</v>
      </c>
      <c r="I349" t="str">
        <f t="shared" si="256"/>
        <v>WEST-21</v>
      </c>
      <c r="J349" t="str">
        <f t="shared" si="257"/>
        <v>Apr 2026-WEST-21</v>
      </c>
      <c r="K349">
        <f t="shared" si="249"/>
        <v>21</v>
      </c>
      <c r="L349">
        <f t="shared" si="258"/>
        <v>18.059999999999999</v>
      </c>
      <c r="M349">
        <f>IF(V349="","",IFERROR(VLOOKUP(TRIM($V349),KEY!$B$2:$F$72,5,FALSE),""))</f>
        <v>6</v>
      </c>
      <c r="N349">
        <f t="shared" si="250"/>
        <v>18</v>
      </c>
      <c r="O349" t="str">
        <f t="shared" si="259"/>
        <v>Audi-4</v>
      </c>
      <c r="P349">
        <f t="shared" si="260"/>
        <v>4</v>
      </c>
      <c r="Q349">
        <f t="shared" si="261"/>
        <v>4.04</v>
      </c>
      <c r="R349">
        <f t="shared" si="251"/>
        <v>4</v>
      </c>
      <c r="S349">
        <f t="shared" si="252"/>
        <v>4</v>
      </c>
      <c r="T349" t="str">
        <f>IF(V349="","",IFERROR(VLOOKUP(TRIM($V349),KEY!$B$2:$F$72,2,FALSE),""))</f>
        <v>Audi</v>
      </c>
      <c r="V349" s="78" t="s">
        <v>157</v>
      </c>
      <c r="W349" s="78">
        <v>24</v>
      </c>
      <c r="X349" s="78">
        <v>0</v>
      </c>
      <c r="Y349" s="78">
        <v>0</v>
      </c>
      <c r="Z349" s="78">
        <v>0</v>
      </c>
      <c r="AA349" s="78">
        <v>0</v>
      </c>
      <c r="AB349" s="78">
        <v>0</v>
      </c>
      <c r="AC349" s="78">
        <v>0</v>
      </c>
      <c r="AD349" s="78">
        <v>0</v>
      </c>
      <c r="AE349" s="78">
        <v>0</v>
      </c>
      <c r="AF349" s="78">
        <v>0</v>
      </c>
      <c r="AG349" s="78">
        <v>0</v>
      </c>
      <c r="AH349" s="78">
        <v>24</v>
      </c>
      <c r="AI349" s="78">
        <v>100</v>
      </c>
      <c r="AJ349" s="78">
        <v>0</v>
      </c>
      <c r="AK349" s="78">
        <v>0</v>
      </c>
      <c r="AL349" s="78">
        <v>0</v>
      </c>
      <c r="AM349" s="78">
        <v>0</v>
      </c>
    </row>
    <row r="350" spans="1:39" x14ac:dyDescent="0.35">
      <c r="B350" t="str">
        <f t="shared" si="253"/>
        <v>Arizona-4</v>
      </c>
      <c r="C350" t="str">
        <f t="shared" si="254"/>
        <v>Dec 2025-Arizona-4</v>
      </c>
      <c r="D350">
        <f t="shared" si="246"/>
        <v>4</v>
      </c>
      <c r="E350">
        <f t="shared" si="255"/>
        <v>4.0199999999999996</v>
      </c>
      <c r="F350">
        <f t="shared" si="247"/>
        <v>2</v>
      </c>
      <c r="G350">
        <f t="shared" si="248"/>
        <v>4</v>
      </c>
      <c r="H350" t="str">
        <f>IF(V350="","",IFERROR(VLOOKUP(TRIM($V350),KEY!$B$2:$F$72,3,FALSE),""))</f>
        <v>Arizona</v>
      </c>
      <c r="I350" t="str">
        <f t="shared" si="256"/>
        <v>WEST-6</v>
      </c>
      <c r="J350" t="str">
        <f t="shared" si="257"/>
        <v>Apr 2026-WEST-6</v>
      </c>
      <c r="K350">
        <f t="shared" si="249"/>
        <v>6</v>
      </c>
      <c r="L350">
        <f t="shared" si="258"/>
        <v>6.03</v>
      </c>
      <c r="M350">
        <f>IF(V350="","",IFERROR(VLOOKUP(TRIM($V350),KEY!$B$2:$F$72,5,FALSE),""))</f>
        <v>3</v>
      </c>
      <c r="N350">
        <f t="shared" si="250"/>
        <v>6</v>
      </c>
      <c r="O350" t="str">
        <f t="shared" si="259"/>
        <v>Audi-1</v>
      </c>
      <c r="P350">
        <f t="shared" si="260"/>
        <v>1</v>
      </c>
      <c r="Q350">
        <f t="shared" si="261"/>
        <v>1.01</v>
      </c>
      <c r="R350">
        <f t="shared" si="251"/>
        <v>1</v>
      </c>
      <c r="S350">
        <f t="shared" si="252"/>
        <v>1</v>
      </c>
      <c r="T350" t="str">
        <f>IF(V350="","",IFERROR(VLOOKUP(TRIM($V350),KEY!$B$2:$F$72,2,FALSE),""))</f>
        <v>Audi</v>
      </c>
      <c r="V350" s="78" t="s">
        <v>158</v>
      </c>
      <c r="W350" s="78">
        <v>8</v>
      </c>
      <c r="X350" s="78">
        <v>1</v>
      </c>
      <c r="Y350" s="78">
        <v>13</v>
      </c>
      <c r="Z350" s="78">
        <v>0</v>
      </c>
      <c r="AA350" s="78">
        <v>1</v>
      </c>
      <c r="AB350" s="78">
        <v>0</v>
      </c>
      <c r="AC350" s="78">
        <v>0</v>
      </c>
      <c r="AD350" s="78">
        <v>1</v>
      </c>
      <c r="AE350" s="78">
        <v>13</v>
      </c>
      <c r="AF350" s="78">
        <v>0</v>
      </c>
      <c r="AG350" s="78">
        <v>0</v>
      </c>
      <c r="AH350" s="78">
        <v>7</v>
      </c>
      <c r="AI350" s="78">
        <v>88</v>
      </c>
      <c r="AJ350" s="78">
        <v>0</v>
      </c>
      <c r="AK350" s="78">
        <v>0</v>
      </c>
      <c r="AL350" s="78">
        <v>0</v>
      </c>
      <c r="AM350" s="78">
        <v>0</v>
      </c>
    </row>
    <row r="351" spans="1:39" x14ac:dyDescent="0.35">
      <c r="B351" t="str">
        <f t="shared" si="253"/>
        <v>Arizona-10</v>
      </c>
      <c r="C351" t="str">
        <f t="shared" si="254"/>
        <v>Dec 2025-Arizona-10</v>
      </c>
      <c r="D351">
        <f t="shared" si="246"/>
        <v>10</v>
      </c>
      <c r="E351">
        <f t="shared" si="255"/>
        <v>6.1</v>
      </c>
      <c r="F351">
        <f t="shared" si="247"/>
        <v>10</v>
      </c>
      <c r="G351">
        <f t="shared" si="248"/>
        <v>6</v>
      </c>
      <c r="H351" t="str">
        <f>IF(V351="","",IFERROR(VLOOKUP(TRIM($V351),KEY!$B$2:$F$72,3,FALSE),""))</f>
        <v>Arizona</v>
      </c>
      <c r="I351" t="str">
        <f t="shared" si="256"/>
        <v>WEST-40</v>
      </c>
      <c r="J351" t="str">
        <f t="shared" si="257"/>
        <v>Apr 2026-WEST-40</v>
      </c>
      <c r="K351">
        <f t="shared" si="249"/>
        <v>40</v>
      </c>
      <c r="L351">
        <f t="shared" si="258"/>
        <v>18.39</v>
      </c>
      <c r="M351">
        <f>IF(V351="","",IFERROR(VLOOKUP(TRIM($V351),KEY!$B$2:$F$72,5,FALSE),""))</f>
        <v>39</v>
      </c>
      <c r="N351">
        <f t="shared" si="250"/>
        <v>18</v>
      </c>
      <c r="O351" t="str">
        <f t="shared" si="259"/>
        <v>MINI-1</v>
      </c>
      <c r="P351">
        <f t="shared" si="260"/>
        <v>1</v>
      </c>
      <c r="Q351">
        <f t="shared" si="261"/>
        <v>1.02</v>
      </c>
      <c r="R351">
        <f t="shared" si="251"/>
        <v>2</v>
      </c>
      <c r="S351">
        <f t="shared" si="252"/>
        <v>1</v>
      </c>
      <c r="T351" t="str">
        <f>IF(V351="","",IFERROR(VLOOKUP(TRIM($V351),KEY!$B$2:$F$72,2,FALSE),""))</f>
        <v>MINI</v>
      </c>
      <c r="V351" s="78" t="s">
        <v>160</v>
      </c>
      <c r="W351" s="78">
        <v>1</v>
      </c>
      <c r="X351" s="78">
        <v>0</v>
      </c>
      <c r="Y351" s="78">
        <v>0</v>
      </c>
      <c r="Z351" s="78">
        <v>0</v>
      </c>
      <c r="AA351" s="78">
        <v>0</v>
      </c>
      <c r="AB351" s="78">
        <v>0</v>
      </c>
      <c r="AC351" s="78">
        <v>0</v>
      </c>
      <c r="AD351" s="78">
        <v>0</v>
      </c>
      <c r="AE351" s="78">
        <v>0</v>
      </c>
      <c r="AF351" s="78">
        <v>1</v>
      </c>
      <c r="AG351" s="78">
        <v>0</v>
      </c>
      <c r="AH351" s="78">
        <v>0</v>
      </c>
      <c r="AI351" s="78">
        <v>100</v>
      </c>
      <c r="AJ351" s="78">
        <v>0</v>
      </c>
      <c r="AK351" s="78">
        <v>0</v>
      </c>
      <c r="AL351" s="78">
        <v>0</v>
      </c>
      <c r="AM351" s="78">
        <v>0</v>
      </c>
    </row>
    <row r="352" spans="1:39" x14ac:dyDescent="0.35">
      <c r="B352" t="str">
        <f t="shared" si="253"/>
        <v>Arizona-11</v>
      </c>
      <c r="C352" t="str">
        <f t="shared" si="254"/>
        <v>Dec 2025-Arizona-11</v>
      </c>
      <c r="D352">
        <f t="shared" si="246"/>
        <v>11</v>
      </c>
      <c r="E352">
        <f t="shared" si="255"/>
        <v>6.11</v>
      </c>
      <c r="F352">
        <f t="shared" si="247"/>
        <v>11</v>
      </c>
      <c r="G352">
        <f>IF(V352="","",COUNTIFS($H$339:$H$408,H352,$Y$339:$Y$408,"&gt;"&amp;Y352)+1)</f>
        <v>6</v>
      </c>
      <c r="H352" t="str">
        <f>IF(V352="","",IFERROR(VLOOKUP(TRIM($V352),KEY!$B$2:$F$72,3,FALSE),""))</f>
        <v>Arizona</v>
      </c>
      <c r="I352" t="str">
        <f t="shared" si="256"/>
        <v>WEST-47</v>
      </c>
      <c r="J352" t="str">
        <f t="shared" si="257"/>
        <v>Apr 2026-WEST-47</v>
      </c>
      <c r="K352">
        <f t="shared" si="249"/>
        <v>47</v>
      </c>
      <c r="L352">
        <f t="shared" si="258"/>
        <v>18.5</v>
      </c>
      <c r="M352">
        <f>IF(V352="","",IFERROR(VLOOKUP(TRIM($V352),KEY!$B$2:$F$72,5,FALSE),""))</f>
        <v>50</v>
      </c>
      <c r="N352">
        <f t="shared" si="250"/>
        <v>18</v>
      </c>
      <c r="O352" t="str">
        <f t="shared" si="259"/>
        <v>Porsche-1</v>
      </c>
      <c r="P352">
        <f t="shared" si="260"/>
        <v>1</v>
      </c>
      <c r="Q352">
        <f t="shared" si="261"/>
        <v>1.01</v>
      </c>
      <c r="R352">
        <f t="shared" si="251"/>
        <v>1</v>
      </c>
      <c r="S352">
        <f t="shared" si="252"/>
        <v>1</v>
      </c>
      <c r="T352" t="str">
        <f>IF(V352="","",IFERROR(VLOOKUP(TRIM($V352),KEY!$B$2:$F$72,2,FALSE),""))</f>
        <v>Porsche</v>
      </c>
      <c r="V352" s="78" t="s">
        <v>161</v>
      </c>
      <c r="W352" s="78">
        <v>1</v>
      </c>
      <c r="X352" s="78">
        <v>0</v>
      </c>
      <c r="Y352" s="78">
        <v>0</v>
      </c>
      <c r="Z352" s="78">
        <v>0</v>
      </c>
      <c r="AA352" s="78">
        <v>0</v>
      </c>
      <c r="AB352" s="78">
        <v>0</v>
      </c>
      <c r="AC352" s="78">
        <v>0</v>
      </c>
      <c r="AD352" s="78">
        <v>0</v>
      </c>
      <c r="AE352" s="78">
        <v>0</v>
      </c>
      <c r="AF352" s="78">
        <v>0</v>
      </c>
      <c r="AG352" s="78">
        <v>0</v>
      </c>
      <c r="AH352" s="78">
        <v>1</v>
      </c>
      <c r="AI352" s="78">
        <v>100</v>
      </c>
      <c r="AJ352" s="78">
        <v>0</v>
      </c>
      <c r="AK352" s="78">
        <v>0</v>
      </c>
      <c r="AL352" s="78">
        <v>0</v>
      </c>
      <c r="AM352" s="78">
        <v>0</v>
      </c>
    </row>
    <row r="353" spans="2:39" x14ac:dyDescent="0.35">
      <c r="B353" t="str">
        <f t="shared" si="253"/>
        <v>Arizona-12</v>
      </c>
      <c r="C353" t="str">
        <f t="shared" si="254"/>
        <v>Dec 2025-Arizona-12</v>
      </c>
      <c r="D353">
        <f t="shared" si="246"/>
        <v>12</v>
      </c>
      <c r="E353">
        <f t="shared" si="255"/>
        <v>6.12</v>
      </c>
      <c r="F353">
        <f t="shared" si="247"/>
        <v>12</v>
      </c>
      <c r="G353">
        <f t="shared" si="248"/>
        <v>6</v>
      </c>
      <c r="H353" t="str">
        <f>IF(V353="","",IFERROR(VLOOKUP(TRIM($V353),KEY!$B$2:$F$72,3,FALSE),""))</f>
        <v>Arizona</v>
      </c>
      <c r="I353" t="str">
        <f t="shared" si="256"/>
        <v>WEST-51</v>
      </c>
      <c r="J353" t="str">
        <f t="shared" si="257"/>
        <v>Apr 2026-WEST-51</v>
      </c>
      <c r="K353">
        <f t="shared" si="249"/>
        <v>51</v>
      </c>
      <c r="L353">
        <f t="shared" si="258"/>
        <v>18.55</v>
      </c>
      <c r="M353">
        <f>IF(V353="","",IFERROR(VLOOKUP(TRIM($V353),KEY!$B$2:$F$72,5,FALSE),""))</f>
        <v>55</v>
      </c>
      <c r="N353">
        <f t="shared" si="250"/>
        <v>18</v>
      </c>
      <c r="O353" t="str">
        <f t="shared" si="259"/>
        <v>Ultra-1</v>
      </c>
      <c r="P353">
        <f t="shared" si="260"/>
        <v>1</v>
      </c>
      <c r="Q353">
        <f t="shared" si="261"/>
        <v>1.01</v>
      </c>
      <c r="R353">
        <f t="shared" si="251"/>
        <v>1</v>
      </c>
      <c r="S353">
        <f t="shared" si="252"/>
        <v>1</v>
      </c>
      <c r="T353" t="str">
        <f>IF(V353="","",IFERROR(VLOOKUP(TRIM($V353),KEY!$B$2:$F$72,2,FALSE),""))</f>
        <v>Ultra</v>
      </c>
      <c r="V353" s="78" t="s">
        <v>214</v>
      </c>
      <c r="W353" s="78">
        <v>2</v>
      </c>
      <c r="X353" s="78">
        <v>0</v>
      </c>
      <c r="Y353" s="78">
        <v>0</v>
      </c>
      <c r="Z353" s="78">
        <v>0</v>
      </c>
      <c r="AA353" s="78">
        <v>0</v>
      </c>
      <c r="AB353" s="78">
        <v>0</v>
      </c>
      <c r="AC353" s="78">
        <v>0</v>
      </c>
      <c r="AD353" s="78">
        <v>0</v>
      </c>
      <c r="AE353" s="78">
        <v>0</v>
      </c>
      <c r="AF353" s="78">
        <v>0</v>
      </c>
      <c r="AG353" s="78">
        <v>0</v>
      </c>
      <c r="AH353" s="78">
        <v>2</v>
      </c>
      <c r="AI353" s="78">
        <v>100</v>
      </c>
      <c r="AJ353" s="78">
        <v>0</v>
      </c>
      <c r="AK353" s="78">
        <v>0</v>
      </c>
      <c r="AL353" s="78">
        <v>0</v>
      </c>
      <c r="AM353" s="78">
        <v>0</v>
      </c>
    </row>
    <row r="354" spans="2:39" x14ac:dyDescent="0.35">
      <c r="B354" t="str">
        <f t="shared" si="253"/>
        <v>Indiana-1</v>
      </c>
      <c r="C354" t="str">
        <f t="shared" si="254"/>
        <v>Dec 2025-Indiana-1</v>
      </c>
      <c r="D354">
        <f t="shared" si="246"/>
        <v>1</v>
      </c>
      <c r="E354">
        <f t="shared" si="255"/>
        <v>1.01</v>
      </c>
      <c r="F354">
        <f t="shared" si="247"/>
        <v>1</v>
      </c>
      <c r="G354">
        <f t="shared" si="248"/>
        <v>1</v>
      </c>
      <c r="H354" t="str">
        <f>IF(V354="","",IFERROR(VLOOKUP(TRIM($V354),KEY!$B$2:$F$72,3,FALSE),""))</f>
        <v>Indiana</v>
      </c>
      <c r="I354" t="str">
        <f t="shared" si="256"/>
        <v>WEST-46</v>
      </c>
      <c r="J354" t="str">
        <f t="shared" si="257"/>
        <v>Apr 2026-WEST-46</v>
      </c>
      <c r="K354">
        <f t="shared" si="249"/>
        <v>46</v>
      </c>
      <c r="L354">
        <f t="shared" si="258"/>
        <v>18.48</v>
      </c>
      <c r="M354">
        <f>IF(V354="","",IFERROR(VLOOKUP(TRIM($V354),KEY!$B$2:$F$72,5,FALSE),""))</f>
        <v>48</v>
      </c>
      <c r="N354">
        <f t="shared" si="250"/>
        <v>18</v>
      </c>
      <c r="O354" t="str">
        <f t="shared" si="259"/>
        <v>Honda-2</v>
      </c>
      <c r="P354">
        <f t="shared" si="260"/>
        <v>2</v>
      </c>
      <c r="Q354">
        <f t="shared" si="261"/>
        <v>2.0499999999999998</v>
      </c>
      <c r="R354">
        <f t="shared" si="251"/>
        <v>5</v>
      </c>
      <c r="S354">
        <f t="shared" si="252"/>
        <v>2</v>
      </c>
      <c r="T354" t="str">
        <f>IF(V354="","",IFERROR(VLOOKUP(TRIM($V354),KEY!$B$2:$F$72,2,FALSE),""))</f>
        <v>Honda</v>
      </c>
      <c r="V354" s="78" t="s">
        <v>162</v>
      </c>
      <c r="W354" s="78">
        <v>68</v>
      </c>
      <c r="X354" s="78">
        <v>0</v>
      </c>
      <c r="Y354" s="78">
        <v>0</v>
      </c>
      <c r="Z354" s="78">
        <v>0</v>
      </c>
      <c r="AA354" s="78">
        <v>0</v>
      </c>
      <c r="AB354" s="78">
        <v>0</v>
      </c>
      <c r="AC354" s="78">
        <v>0</v>
      </c>
      <c r="AD354" s="78">
        <v>0</v>
      </c>
      <c r="AE354" s="78">
        <v>0</v>
      </c>
      <c r="AF354" s="78">
        <v>1</v>
      </c>
      <c r="AG354" s="78">
        <v>0</v>
      </c>
      <c r="AH354" s="78">
        <v>67</v>
      </c>
      <c r="AI354" s="78">
        <v>100</v>
      </c>
      <c r="AJ354" s="78">
        <v>0</v>
      </c>
      <c r="AK354" s="78">
        <v>0</v>
      </c>
      <c r="AL354" s="78">
        <v>0</v>
      </c>
      <c r="AM354" s="78">
        <v>0</v>
      </c>
    </row>
    <row r="355" spans="2:39" x14ac:dyDescent="0.35">
      <c r="B355" t="str">
        <f t="shared" si="253"/>
        <v>Northern California-3</v>
      </c>
      <c r="C355" t="str">
        <f t="shared" si="254"/>
        <v>Dec 2025-Northern California-3</v>
      </c>
      <c r="D355">
        <f t="shared" si="246"/>
        <v>3</v>
      </c>
      <c r="E355">
        <f t="shared" si="255"/>
        <v>3.02</v>
      </c>
      <c r="F355">
        <f t="shared" si="247"/>
        <v>2</v>
      </c>
      <c r="G355">
        <f t="shared" si="248"/>
        <v>3</v>
      </c>
      <c r="H355" t="str">
        <f>IF(V355="","",IFERROR(VLOOKUP(TRIM($V355),KEY!$B$2:$F$72,3,FALSE),""))</f>
        <v>Northern California</v>
      </c>
      <c r="I355" t="str">
        <f t="shared" si="256"/>
        <v>WEST-27</v>
      </c>
      <c r="J355" t="str">
        <f t="shared" si="257"/>
        <v>Apr 2026-WEST-27</v>
      </c>
      <c r="K355">
        <f t="shared" si="249"/>
        <v>27</v>
      </c>
      <c r="L355">
        <f t="shared" si="258"/>
        <v>18.170000000000002</v>
      </c>
      <c r="M355">
        <f>IF(V355="","",IFERROR(VLOOKUP(TRIM($V355),KEY!$B$2:$F$72,5,FALSE),""))</f>
        <v>17</v>
      </c>
      <c r="N355">
        <f t="shared" si="250"/>
        <v>18</v>
      </c>
      <c r="O355" t="str">
        <f t="shared" si="259"/>
        <v>Acura-2</v>
      </c>
      <c r="P355">
        <f t="shared" si="260"/>
        <v>2</v>
      </c>
      <c r="Q355">
        <f t="shared" si="261"/>
        <v>2.0299999999999998</v>
      </c>
      <c r="R355">
        <f t="shared" si="251"/>
        <v>3</v>
      </c>
      <c r="S355">
        <f t="shared" si="252"/>
        <v>2</v>
      </c>
      <c r="T355" t="str">
        <f>IF(V355="","",IFERROR(VLOOKUP(TRIM($V355),KEY!$B$2:$F$72,2,FALSE),""))</f>
        <v>Acura</v>
      </c>
      <c r="V355" s="78" t="s">
        <v>164</v>
      </c>
      <c r="W355" s="78">
        <v>10</v>
      </c>
      <c r="X355" s="78">
        <v>0</v>
      </c>
      <c r="Y355" s="78">
        <v>0</v>
      </c>
      <c r="Z355" s="78">
        <v>0</v>
      </c>
      <c r="AA355" s="78">
        <v>0</v>
      </c>
      <c r="AB355" s="78">
        <v>0</v>
      </c>
      <c r="AC355" s="78">
        <v>0</v>
      </c>
      <c r="AD355" s="78">
        <v>0</v>
      </c>
      <c r="AE355" s="78">
        <v>0</v>
      </c>
      <c r="AF355" s="78">
        <v>0</v>
      </c>
      <c r="AG355" s="78">
        <v>0</v>
      </c>
      <c r="AH355" s="78">
        <v>10</v>
      </c>
      <c r="AI355" s="78">
        <v>100</v>
      </c>
      <c r="AJ355" s="78">
        <v>0</v>
      </c>
      <c r="AK355" s="78">
        <v>0</v>
      </c>
      <c r="AL355" s="78">
        <v>0</v>
      </c>
      <c r="AM355" s="78">
        <v>0</v>
      </c>
    </row>
    <row r="356" spans="2:39" x14ac:dyDescent="0.35">
      <c r="B356" t="str">
        <f t="shared" si="253"/>
        <v>Northern California-4</v>
      </c>
      <c r="C356" t="str">
        <f t="shared" si="254"/>
        <v>Dec 2025-Northern California-4</v>
      </c>
      <c r="D356">
        <f t="shared" si="246"/>
        <v>4</v>
      </c>
      <c r="E356">
        <f t="shared" si="255"/>
        <v>3.03</v>
      </c>
      <c r="F356">
        <f t="shared" si="247"/>
        <v>3</v>
      </c>
      <c r="G356">
        <f t="shared" si="248"/>
        <v>3</v>
      </c>
      <c r="H356" t="str">
        <f>IF(V356="","",IFERROR(VLOOKUP(TRIM($V356),KEY!$B$2:$F$72,3,FALSE),""))</f>
        <v>Northern California</v>
      </c>
      <c r="I356" t="str">
        <f t="shared" si="256"/>
        <v>WEST-28</v>
      </c>
      <c r="J356" t="str">
        <f t="shared" si="257"/>
        <v>Apr 2026-WEST-28</v>
      </c>
      <c r="K356">
        <f t="shared" si="249"/>
        <v>28</v>
      </c>
      <c r="L356">
        <f t="shared" si="258"/>
        <v>18.18</v>
      </c>
      <c r="M356">
        <f>IF(V356="","",IFERROR(VLOOKUP(TRIM($V356),KEY!$B$2:$F$72,5,FALSE),""))</f>
        <v>18</v>
      </c>
      <c r="N356">
        <f t="shared" si="250"/>
        <v>18</v>
      </c>
      <c r="O356" t="str">
        <f t="shared" si="259"/>
        <v>Honda-2</v>
      </c>
      <c r="P356">
        <f t="shared" si="260"/>
        <v>2</v>
      </c>
      <c r="Q356">
        <f t="shared" si="261"/>
        <v>2.0099999999999998</v>
      </c>
      <c r="R356">
        <f t="shared" si="251"/>
        <v>1</v>
      </c>
      <c r="S356">
        <f t="shared" si="252"/>
        <v>2</v>
      </c>
      <c r="T356" t="str">
        <f>IF(V356="","",IFERROR(VLOOKUP(TRIM($V356),KEY!$B$2:$F$72,2,FALSE),""))</f>
        <v>Honda</v>
      </c>
      <c r="V356" s="78" t="s">
        <v>165</v>
      </c>
      <c r="W356" s="78">
        <v>25</v>
      </c>
      <c r="X356" s="78">
        <v>0</v>
      </c>
      <c r="Y356" s="78">
        <v>0</v>
      </c>
      <c r="Z356" s="78">
        <v>0</v>
      </c>
      <c r="AA356" s="78">
        <v>0</v>
      </c>
      <c r="AB356" s="78">
        <v>0</v>
      </c>
      <c r="AC356" s="78">
        <v>0</v>
      </c>
      <c r="AD356" s="78">
        <v>0</v>
      </c>
      <c r="AE356" s="78">
        <v>0</v>
      </c>
      <c r="AF356" s="78">
        <v>0</v>
      </c>
      <c r="AG356" s="78">
        <v>0</v>
      </c>
      <c r="AH356" s="78">
        <v>25</v>
      </c>
      <c r="AI356" s="78">
        <v>100</v>
      </c>
      <c r="AJ356" s="78">
        <v>0</v>
      </c>
      <c r="AK356" s="78">
        <v>0</v>
      </c>
      <c r="AL356" s="78">
        <v>0</v>
      </c>
      <c r="AM356" s="78">
        <v>0</v>
      </c>
    </row>
    <row r="357" spans="2:39" x14ac:dyDescent="0.35">
      <c r="B357" t="str">
        <f t="shared" si="253"/>
        <v>Northern California-5</v>
      </c>
      <c r="C357" t="str">
        <f t="shared" si="254"/>
        <v>Dec 2025-Northern California-5</v>
      </c>
      <c r="D357">
        <f t="shared" si="246"/>
        <v>5</v>
      </c>
      <c r="E357">
        <f t="shared" si="255"/>
        <v>3.04</v>
      </c>
      <c r="F357">
        <f t="shared" si="247"/>
        <v>4</v>
      </c>
      <c r="G357">
        <f t="shared" si="248"/>
        <v>3</v>
      </c>
      <c r="H357" t="str">
        <f>IF(V357="","",IFERROR(VLOOKUP(TRIM($V357),KEY!$B$2:$F$72,3,FALSE),""))</f>
        <v>Northern California</v>
      </c>
      <c r="I357" t="str">
        <f t="shared" si="256"/>
        <v>WEST-31</v>
      </c>
      <c r="J357" t="str">
        <f t="shared" si="257"/>
        <v>Apr 2026-WEST-31</v>
      </c>
      <c r="K357">
        <f t="shared" si="249"/>
        <v>31</v>
      </c>
      <c r="L357">
        <f t="shared" si="258"/>
        <v>18.239999999999998</v>
      </c>
      <c r="M357">
        <f>IF(V357="","",IFERROR(VLOOKUP(TRIM($V357),KEY!$B$2:$F$72,5,FALSE),""))</f>
        <v>24</v>
      </c>
      <c r="N357">
        <f t="shared" si="250"/>
        <v>18</v>
      </c>
      <c r="O357" t="str">
        <f t="shared" si="259"/>
        <v>Honda-2</v>
      </c>
      <c r="P357">
        <f t="shared" si="260"/>
        <v>2</v>
      </c>
      <c r="Q357">
        <f t="shared" si="261"/>
        <v>2.0299999999999998</v>
      </c>
      <c r="R357">
        <f t="shared" si="251"/>
        <v>3</v>
      </c>
      <c r="S357">
        <f t="shared" si="252"/>
        <v>2</v>
      </c>
      <c r="T357" t="str">
        <f>IF(V357="","",IFERROR(VLOOKUP(TRIM($V357),KEY!$B$2:$F$72,2,FALSE),""))</f>
        <v>Honda</v>
      </c>
      <c r="V357" s="78" t="s">
        <v>166</v>
      </c>
      <c r="W357" s="78">
        <v>35</v>
      </c>
      <c r="X357" s="78">
        <v>0</v>
      </c>
      <c r="Y357" s="78">
        <v>0</v>
      </c>
      <c r="Z357" s="78">
        <v>0</v>
      </c>
      <c r="AA357" s="78">
        <v>0</v>
      </c>
      <c r="AB357" s="78">
        <v>0</v>
      </c>
      <c r="AC357" s="78">
        <v>0</v>
      </c>
      <c r="AD357" s="78">
        <v>0</v>
      </c>
      <c r="AE357" s="78">
        <v>0</v>
      </c>
      <c r="AF357" s="78">
        <v>0</v>
      </c>
      <c r="AG357" s="78">
        <v>0</v>
      </c>
      <c r="AH357" s="78">
        <v>35</v>
      </c>
      <c r="AI357" s="78">
        <v>100</v>
      </c>
      <c r="AJ357" s="78">
        <v>0</v>
      </c>
      <c r="AK357" s="78">
        <v>0</v>
      </c>
      <c r="AL357" s="78">
        <v>0</v>
      </c>
      <c r="AM357" s="78">
        <v>0</v>
      </c>
    </row>
    <row r="358" spans="2:39" x14ac:dyDescent="0.35">
      <c r="B358" t="str">
        <f t="shared" si="253"/>
        <v>Northern California-1</v>
      </c>
      <c r="C358" t="str">
        <f t="shared" si="254"/>
        <v>Dec 2025-Northern California-1</v>
      </c>
      <c r="D358">
        <f t="shared" si="246"/>
        <v>1</v>
      </c>
      <c r="E358">
        <f t="shared" si="255"/>
        <v>1.06</v>
      </c>
      <c r="F358">
        <f t="shared" si="247"/>
        <v>6</v>
      </c>
      <c r="G358">
        <f t="shared" si="248"/>
        <v>1</v>
      </c>
      <c r="H358" t="str">
        <f>IF(V358="","",IFERROR(VLOOKUP(TRIM($V358),KEY!$B$2:$F$72,3,FALSE),""))</f>
        <v>Northern California</v>
      </c>
      <c r="I358" t="str">
        <f t="shared" si="256"/>
        <v>WEST-16</v>
      </c>
      <c r="J358" t="str">
        <f t="shared" si="257"/>
        <v>Apr 2026-WEST-16</v>
      </c>
      <c r="K358">
        <f t="shared" si="249"/>
        <v>16</v>
      </c>
      <c r="L358">
        <f t="shared" si="258"/>
        <v>15.49</v>
      </c>
      <c r="M358">
        <f>IF(V358="","",IFERROR(VLOOKUP(TRIM($V358),KEY!$B$2:$F$72,5,FALSE),""))</f>
        <v>49</v>
      </c>
      <c r="N358">
        <f t="shared" si="250"/>
        <v>15</v>
      </c>
      <c r="O358" t="str">
        <f t="shared" si="259"/>
        <v>BMW-4</v>
      </c>
      <c r="P358">
        <f t="shared" si="260"/>
        <v>4</v>
      </c>
      <c r="Q358">
        <f t="shared" si="261"/>
        <v>3.09</v>
      </c>
      <c r="R358">
        <f t="shared" si="251"/>
        <v>9</v>
      </c>
      <c r="S358">
        <f t="shared" si="252"/>
        <v>3</v>
      </c>
      <c r="T358" t="str">
        <f>IF(V358="","",IFERROR(VLOOKUP(TRIM($V358),KEY!$B$2:$F$72,2,FALSE),""))</f>
        <v>BMW</v>
      </c>
      <c r="V358" s="78" t="s">
        <v>168</v>
      </c>
      <c r="W358" s="78">
        <v>62</v>
      </c>
      <c r="X358" s="78">
        <v>1</v>
      </c>
      <c r="Y358" s="78">
        <v>2</v>
      </c>
      <c r="Z358" s="78">
        <v>0</v>
      </c>
      <c r="AA358" s="78">
        <v>1</v>
      </c>
      <c r="AB358" s="78">
        <v>0</v>
      </c>
      <c r="AC358" s="78">
        <v>0</v>
      </c>
      <c r="AD358" s="78">
        <v>1</v>
      </c>
      <c r="AE358" s="78">
        <v>2</v>
      </c>
      <c r="AF358" s="78">
        <v>0</v>
      </c>
      <c r="AG358" s="78">
        <v>0</v>
      </c>
      <c r="AH358" s="78">
        <v>61</v>
      </c>
      <c r="AI358" s="78">
        <v>98</v>
      </c>
      <c r="AJ358" s="78">
        <v>0</v>
      </c>
      <c r="AK358" s="78">
        <v>0</v>
      </c>
      <c r="AL358" s="78">
        <v>0</v>
      </c>
      <c r="AM358" s="78">
        <v>0</v>
      </c>
    </row>
    <row r="359" spans="2:39" x14ac:dyDescent="0.35">
      <c r="B359" t="str">
        <f t="shared" si="253"/>
        <v>Northern California-8</v>
      </c>
      <c r="C359" t="str">
        <f t="shared" si="254"/>
        <v>Dec 2025-Northern California-8</v>
      </c>
      <c r="D359">
        <f t="shared" si="246"/>
        <v>8</v>
      </c>
      <c r="E359">
        <f t="shared" si="255"/>
        <v>3.08</v>
      </c>
      <c r="F359">
        <f t="shared" si="247"/>
        <v>8</v>
      </c>
      <c r="G359">
        <f t="shared" si="248"/>
        <v>3</v>
      </c>
      <c r="H359" t="str">
        <f>IF(V359="","",IFERROR(VLOOKUP(TRIM($V359),KEY!$B$2:$F$72,3,FALSE),""))</f>
        <v>Northern California</v>
      </c>
      <c r="I359" t="str">
        <f t="shared" si="256"/>
        <v>WEST-53</v>
      </c>
      <c r="J359" t="str">
        <f t="shared" si="257"/>
        <v>Apr 2026-WEST-53</v>
      </c>
      <c r="K359">
        <f t="shared" si="249"/>
        <v>53</v>
      </c>
      <c r="L359">
        <f t="shared" si="258"/>
        <v>18.579999999999998</v>
      </c>
      <c r="M359">
        <f>IF(V359="","",IFERROR(VLOOKUP(TRIM($V359),KEY!$B$2:$F$72,5,FALSE),""))</f>
        <v>58</v>
      </c>
      <c r="N359">
        <f t="shared" si="250"/>
        <v>18</v>
      </c>
      <c r="O359" t="str">
        <f t="shared" si="259"/>
        <v>Toyota-4</v>
      </c>
      <c r="P359">
        <f t="shared" si="260"/>
        <v>4</v>
      </c>
      <c r="Q359">
        <f t="shared" si="261"/>
        <v>3.04</v>
      </c>
      <c r="R359">
        <f t="shared" si="251"/>
        <v>4</v>
      </c>
      <c r="S359">
        <f t="shared" si="252"/>
        <v>3</v>
      </c>
      <c r="T359" t="str">
        <f>IF(V359="","",IFERROR(VLOOKUP(TRIM($V359),KEY!$B$2:$F$72,2,FALSE),""))</f>
        <v>Toyota</v>
      </c>
      <c r="V359" s="78" t="s">
        <v>167</v>
      </c>
      <c r="W359" s="78">
        <v>6</v>
      </c>
      <c r="X359" s="78">
        <v>0</v>
      </c>
      <c r="Y359" s="78">
        <v>0</v>
      </c>
      <c r="Z359" s="78">
        <v>0</v>
      </c>
      <c r="AA359" s="78">
        <v>0</v>
      </c>
      <c r="AB359" s="78">
        <v>0</v>
      </c>
      <c r="AC359" s="78">
        <v>0</v>
      </c>
      <c r="AD359" s="78">
        <v>0</v>
      </c>
      <c r="AE359" s="78">
        <v>0</v>
      </c>
      <c r="AF359" s="78">
        <v>0</v>
      </c>
      <c r="AG359" s="78">
        <v>0</v>
      </c>
      <c r="AH359" s="78">
        <v>6</v>
      </c>
      <c r="AI359" s="78">
        <v>100</v>
      </c>
      <c r="AJ359" s="78">
        <v>0</v>
      </c>
      <c r="AK359" s="78">
        <v>0</v>
      </c>
      <c r="AL359" s="78">
        <v>0</v>
      </c>
      <c r="AM359" s="78">
        <v>0</v>
      </c>
    </row>
    <row r="360" spans="2:39" x14ac:dyDescent="0.35">
      <c r="B360" t="str">
        <f t="shared" si="253"/>
        <v>Northern California-2</v>
      </c>
      <c r="C360" t="str">
        <f t="shared" si="254"/>
        <v>Dec 2025-Northern California-2</v>
      </c>
      <c r="D360">
        <f t="shared" si="246"/>
        <v>2</v>
      </c>
      <c r="E360">
        <f t="shared" si="255"/>
        <v>2.0099999999999998</v>
      </c>
      <c r="F360">
        <f t="shared" si="247"/>
        <v>1</v>
      </c>
      <c r="G360">
        <f t="shared" si="248"/>
        <v>2</v>
      </c>
      <c r="H360" t="str">
        <f>IF(V360="","",IFERROR(VLOOKUP(TRIM($V360),KEY!$B$2:$F$72,3,FALSE),""))</f>
        <v>Northern California</v>
      </c>
      <c r="I360" t="str">
        <f t="shared" si="256"/>
        <v>WEST-17</v>
      </c>
      <c r="J360" t="str">
        <f t="shared" si="257"/>
        <v>Apr 2026-WEST-17</v>
      </c>
      <c r="K360">
        <f t="shared" si="249"/>
        <v>17</v>
      </c>
      <c r="L360">
        <f t="shared" si="258"/>
        <v>17.07</v>
      </c>
      <c r="M360">
        <f>IF(V360="","",IFERROR(VLOOKUP(TRIM($V360),KEY!$B$2:$F$72,5,FALSE),""))</f>
        <v>7</v>
      </c>
      <c r="N360">
        <f t="shared" si="250"/>
        <v>17</v>
      </c>
      <c r="O360" t="str">
        <f t="shared" si="259"/>
        <v>Audi-4</v>
      </c>
      <c r="P360">
        <f t="shared" si="260"/>
        <v>4</v>
      </c>
      <c r="Q360">
        <f t="shared" si="261"/>
        <v>3.05</v>
      </c>
      <c r="R360">
        <f t="shared" si="251"/>
        <v>5</v>
      </c>
      <c r="S360">
        <f t="shared" si="252"/>
        <v>3</v>
      </c>
      <c r="T360" t="str">
        <f>IF(V360="","",IFERROR(VLOOKUP(TRIM($V360),KEY!$B$2:$F$72,2,FALSE),""))</f>
        <v>Audi</v>
      </c>
      <c r="V360" s="78" t="s">
        <v>169</v>
      </c>
      <c r="W360" s="78">
        <v>81</v>
      </c>
      <c r="X360" s="78">
        <v>1</v>
      </c>
      <c r="Y360" s="78">
        <v>1</v>
      </c>
      <c r="Z360" s="78">
        <v>0</v>
      </c>
      <c r="AA360" s="78">
        <v>1</v>
      </c>
      <c r="AB360" s="78">
        <v>0</v>
      </c>
      <c r="AC360" s="78">
        <v>4</v>
      </c>
      <c r="AD360" s="78">
        <v>5</v>
      </c>
      <c r="AE360" s="78">
        <v>6</v>
      </c>
      <c r="AF360" s="78">
        <v>76</v>
      </c>
      <c r="AG360" s="78">
        <v>0</v>
      </c>
      <c r="AH360" s="78">
        <v>0</v>
      </c>
      <c r="AI360" s="78">
        <v>94</v>
      </c>
      <c r="AJ360" s="78">
        <v>0</v>
      </c>
      <c r="AK360" s="78">
        <v>0</v>
      </c>
      <c r="AL360" s="78">
        <v>0</v>
      </c>
      <c r="AM360" s="78">
        <v>0</v>
      </c>
    </row>
    <row r="361" spans="2:39" x14ac:dyDescent="0.35">
      <c r="B361" t="str">
        <f t="shared" ref="B361:B374" si="262">IF(V361="","",H361&amp;"-"&amp;D361)</f>
        <v>Northern California-6</v>
      </c>
      <c r="C361" t="str">
        <f t="shared" ref="C361:C374" si="263">IF(V361="","",$W$1&amp;"-"&amp;B361)</f>
        <v>Dec 2025-Northern California-6</v>
      </c>
      <c r="D361">
        <f t="shared" si="246"/>
        <v>6</v>
      </c>
      <c r="E361">
        <f t="shared" ref="E361:E374" si="264">IF(V361="","",G361+(F361/100))</f>
        <v>3.05</v>
      </c>
      <c r="F361">
        <f t="shared" si="247"/>
        <v>5</v>
      </c>
      <c r="G361">
        <f t="shared" si="248"/>
        <v>3</v>
      </c>
      <c r="H361" t="str">
        <f>IF(V361="","",IFERROR(VLOOKUP(TRIM($V361),KEY!$B$2:$F$72,3,FALSE),""))</f>
        <v>Northern California</v>
      </c>
      <c r="I361" t="str">
        <f t="shared" ref="I361:I374" si="265">IF(V361="","","WEST-"&amp;K361)</f>
        <v>WEST-42</v>
      </c>
      <c r="J361" t="str">
        <f t="shared" ref="J361:J374" si="266">IF(V361="","",$AA$1&amp;"-"&amp;I361)</f>
        <v>Apr 2026-WEST-42</v>
      </c>
      <c r="K361">
        <f t="shared" si="249"/>
        <v>42</v>
      </c>
      <c r="L361">
        <f t="shared" ref="L361:L374" si="267">IFERROR(IF(V361="","",N361+(M361/100)),"-")</f>
        <v>18.41</v>
      </c>
      <c r="M361">
        <f>IF(V361="","",IFERROR(VLOOKUP(TRIM($V361),KEY!$B$2:$F$72,5,FALSE),""))</f>
        <v>41</v>
      </c>
      <c r="N361">
        <f t="shared" si="250"/>
        <v>18</v>
      </c>
      <c r="O361" t="str">
        <f t="shared" ref="O361:O374" si="268">IF(V361="","",T361&amp;"-"&amp;P361)</f>
        <v>MINI-2</v>
      </c>
      <c r="P361">
        <f t="shared" si="260"/>
        <v>2</v>
      </c>
      <c r="Q361">
        <f t="shared" si="261"/>
        <v>1.04</v>
      </c>
      <c r="R361">
        <f t="shared" si="251"/>
        <v>4</v>
      </c>
      <c r="S361">
        <f t="shared" si="252"/>
        <v>1</v>
      </c>
      <c r="T361" t="str">
        <f>IF(V361="","",IFERROR(VLOOKUP(TRIM($V361),KEY!$B$2:$F$72,2,FALSE),""))</f>
        <v>MINI</v>
      </c>
      <c r="V361" s="78" t="s">
        <v>170</v>
      </c>
      <c r="W361" s="78">
        <v>4</v>
      </c>
      <c r="X361" s="78">
        <v>0</v>
      </c>
      <c r="Y361" s="78">
        <v>0</v>
      </c>
      <c r="Z361" s="78">
        <v>0</v>
      </c>
      <c r="AA361" s="78">
        <v>0</v>
      </c>
      <c r="AB361" s="78">
        <v>0</v>
      </c>
      <c r="AC361" s="78">
        <v>0</v>
      </c>
      <c r="AD361" s="78">
        <v>0</v>
      </c>
      <c r="AE361" s="78">
        <v>0</v>
      </c>
      <c r="AF361" s="78">
        <v>4</v>
      </c>
      <c r="AG361" s="78">
        <v>0</v>
      </c>
      <c r="AH361" s="78">
        <v>0</v>
      </c>
      <c r="AI361" s="78">
        <v>100</v>
      </c>
      <c r="AJ361" s="78">
        <v>0</v>
      </c>
      <c r="AK361" s="78">
        <v>0</v>
      </c>
      <c r="AL361" s="78">
        <v>0</v>
      </c>
      <c r="AM361" s="78">
        <v>0</v>
      </c>
    </row>
    <row r="362" spans="2:39" x14ac:dyDescent="0.35">
      <c r="B362" t="str">
        <f t="shared" si="262"/>
        <v>Northern California-7</v>
      </c>
      <c r="C362" t="str">
        <f t="shared" si="263"/>
        <v>Dec 2025-Northern California-7</v>
      </c>
      <c r="D362">
        <f t="shared" si="246"/>
        <v>7</v>
      </c>
      <c r="E362">
        <f t="shared" si="264"/>
        <v>3.07</v>
      </c>
      <c r="F362">
        <f t="shared" si="247"/>
        <v>7</v>
      </c>
      <c r="G362">
        <f t="shared" si="248"/>
        <v>3</v>
      </c>
      <c r="H362" t="str">
        <f>IF(V362="","",IFERROR(VLOOKUP(TRIM($V362),KEY!$B$2:$F$72,3,FALSE),""))</f>
        <v>Northern California</v>
      </c>
      <c r="I362" t="str">
        <f t="shared" si="265"/>
        <v>WEST-48</v>
      </c>
      <c r="J362" t="str">
        <f t="shared" si="266"/>
        <v>Apr 2026-WEST-48</v>
      </c>
      <c r="K362">
        <f t="shared" si="249"/>
        <v>48</v>
      </c>
      <c r="L362">
        <f t="shared" si="267"/>
        <v>18.510000000000002</v>
      </c>
      <c r="M362">
        <f>IF(V362="","",IFERROR(VLOOKUP(TRIM($V362),KEY!$B$2:$F$72,5,FALSE),""))</f>
        <v>51</v>
      </c>
      <c r="N362">
        <f t="shared" si="250"/>
        <v>18</v>
      </c>
      <c r="O362" t="str">
        <f t="shared" si="268"/>
        <v>Porsche-2</v>
      </c>
      <c r="P362">
        <f t="shared" si="260"/>
        <v>2</v>
      </c>
      <c r="Q362">
        <f t="shared" si="261"/>
        <v>1.02</v>
      </c>
      <c r="R362">
        <f t="shared" si="251"/>
        <v>2</v>
      </c>
      <c r="S362">
        <f t="shared" si="252"/>
        <v>1</v>
      </c>
      <c r="T362" t="str">
        <f>IF(V362="","",IFERROR(VLOOKUP(TRIM($V362),KEY!$B$2:$F$72,2,FALSE),""))</f>
        <v>Porsche</v>
      </c>
      <c r="V362" s="78" t="s">
        <v>171</v>
      </c>
      <c r="W362" s="78">
        <v>6</v>
      </c>
      <c r="X362" s="78">
        <v>0</v>
      </c>
      <c r="Y362" s="78">
        <v>0</v>
      </c>
      <c r="Z362" s="78">
        <v>0</v>
      </c>
      <c r="AA362" s="78">
        <v>0</v>
      </c>
      <c r="AB362" s="78">
        <v>0</v>
      </c>
      <c r="AC362" s="78">
        <v>0</v>
      </c>
      <c r="AD362" s="78">
        <v>0</v>
      </c>
      <c r="AE362" s="78">
        <v>0</v>
      </c>
      <c r="AF362" s="78">
        <v>0</v>
      </c>
      <c r="AG362" s="78">
        <v>0</v>
      </c>
      <c r="AH362" s="78">
        <v>6</v>
      </c>
      <c r="AI362" s="78">
        <v>100</v>
      </c>
      <c r="AJ362" s="78">
        <v>0</v>
      </c>
      <c r="AK362" s="78">
        <v>0</v>
      </c>
      <c r="AL362" s="78">
        <v>0</v>
      </c>
      <c r="AM362" s="78">
        <v>0</v>
      </c>
    </row>
    <row r="363" spans="2:39" x14ac:dyDescent="0.35">
      <c r="B363" t="str">
        <f t="shared" si="262"/>
        <v>Orange County-3</v>
      </c>
      <c r="C363" t="str">
        <f t="shared" si="263"/>
        <v>Dec 2025-Orange County-3</v>
      </c>
      <c r="D363">
        <f t="shared" si="246"/>
        <v>3</v>
      </c>
      <c r="E363">
        <f t="shared" si="264"/>
        <v>3.08</v>
      </c>
      <c r="F363">
        <f t="shared" si="247"/>
        <v>8</v>
      </c>
      <c r="G363">
        <f t="shared" si="248"/>
        <v>3</v>
      </c>
      <c r="H363" t="str">
        <f>IF(V363="","",IFERROR(VLOOKUP(TRIM($V363),KEY!$B$2:$F$72,3,FALSE),""))</f>
        <v>Orange County</v>
      </c>
      <c r="I363" t="str">
        <f t="shared" si="265"/>
        <v>WEST-14</v>
      </c>
      <c r="J363" t="str">
        <f t="shared" si="266"/>
        <v>Apr 2026-WEST-14</v>
      </c>
      <c r="K363">
        <f t="shared" si="249"/>
        <v>14</v>
      </c>
      <c r="L363">
        <f t="shared" si="267"/>
        <v>14.62</v>
      </c>
      <c r="M363">
        <f>IF(V363="","",IFERROR(VLOOKUP(TRIM($V363),KEY!$B$2:$F$72,5,FALSE),""))</f>
        <v>62</v>
      </c>
      <c r="N363">
        <f t="shared" si="250"/>
        <v>14</v>
      </c>
      <c r="O363" t="str">
        <f t="shared" si="268"/>
        <v>Volkswagen-1</v>
      </c>
      <c r="P363">
        <f t="shared" si="260"/>
        <v>1</v>
      </c>
      <c r="Q363">
        <f t="shared" si="261"/>
        <v>1.02</v>
      </c>
      <c r="R363">
        <f t="shared" si="251"/>
        <v>2</v>
      </c>
      <c r="S363">
        <f t="shared" si="252"/>
        <v>1</v>
      </c>
      <c r="T363" t="str">
        <f>IF(V363="","",IFERROR(VLOOKUP(TRIM($V363),KEY!$B$2:$F$72,2,FALSE),""))</f>
        <v>Volkswagen</v>
      </c>
      <c r="V363" s="78" t="s">
        <v>172</v>
      </c>
      <c r="W363" s="78">
        <v>34</v>
      </c>
      <c r="X363" s="78">
        <v>1</v>
      </c>
      <c r="Y363" s="78">
        <v>3</v>
      </c>
      <c r="Z363" s="78">
        <v>0</v>
      </c>
      <c r="AA363" s="78">
        <v>1</v>
      </c>
      <c r="AB363" s="78">
        <v>0</v>
      </c>
      <c r="AC363" s="78">
        <v>0</v>
      </c>
      <c r="AD363" s="78">
        <v>1</v>
      </c>
      <c r="AE363" s="78">
        <v>3</v>
      </c>
      <c r="AF363" s="78">
        <v>0</v>
      </c>
      <c r="AG363" s="78">
        <v>0</v>
      </c>
      <c r="AH363" s="78">
        <v>27</v>
      </c>
      <c r="AI363" s="78">
        <v>79</v>
      </c>
      <c r="AJ363" s="78">
        <v>6</v>
      </c>
      <c r="AK363" s="78">
        <v>0</v>
      </c>
      <c r="AL363" s="78">
        <v>0</v>
      </c>
      <c r="AM363" s="78">
        <v>18</v>
      </c>
    </row>
    <row r="364" spans="2:39" x14ac:dyDescent="0.35">
      <c r="B364" t="str">
        <f t="shared" si="262"/>
        <v>Orange County-8</v>
      </c>
      <c r="C364" t="str">
        <f t="shared" si="263"/>
        <v>Dec 2025-Orange County-8</v>
      </c>
      <c r="D364">
        <f t="shared" si="246"/>
        <v>8</v>
      </c>
      <c r="E364">
        <f t="shared" si="264"/>
        <v>5.0599999999999996</v>
      </c>
      <c r="F364">
        <f t="shared" si="247"/>
        <v>6</v>
      </c>
      <c r="G364">
        <f t="shared" si="248"/>
        <v>5</v>
      </c>
      <c r="H364" t="str">
        <f>IF(V364="","",IFERROR(VLOOKUP(TRIM($V364),KEY!$B$2:$F$72,3,FALSE),""))</f>
        <v>Orange County</v>
      </c>
      <c r="I364" t="str">
        <f t="shared" si="265"/>
        <v>WEST-38</v>
      </c>
      <c r="J364" t="str">
        <f t="shared" si="266"/>
        <v>Apr 2026-WEST-38</v>
      </c>
      <c r="K364">
        <f t="shared" si="249"/>
        <v>38</v>
      </c>
      <c r="L364">
        <f t="shared" si="267"/>
        <v>18.34</v>
      </c>
      <c r="M364">
        <f>IF(V364="","",IFERROR(VLOOKUP(TRIM($V364),KEY!$B$2:$F$72,5,FALSE),""))</f>
        <v>34</v>
      </c>
      <c r="N364">
        <f t="shared" si="250"/>
        <v>18</v>
      </c>
      <c r="O364" t="str">
        <f t="shared" si="268"/>
        <v>Lincoln-1</v>
      </c>
      <c r="P364">
        <f t="shared" si="260"/>
        <v>1</v>
      </c>
      <c r="Q364">
        <f t="shared" si="261"/>
        <v>1.01</v>
      </c>
      <c r="R364">
        <f t="shared" si="251"/>
        <v>1</v>
      </c>
      <c r="S364">
        <f t="shared" si="252"/>
        <v>1</v>
      </c>
      <c r="T364" t="str">
        <f>IF(V364="","",IFERROR(VLOOKUP(TRIM($V364),KEY!$B$2:$F$72,2,FALSE),""))</f>
        <v>Lincoln</v>
      </c>
      <c r="V364" s="78" t="s">
        <v>176</v>
      </c>
      <c r="W364" s="78">
        <v>8</v>
      </c>
      <c r="X364" s="78">
        <v>0</v>
      </c>
      <c r="Y364" s="78">
        <v>0</v>
      </c>
      <c r="Z364" s="78">
        <v>0</v>
      </c>
      <c r="AA364" s="78">
        <v>0</v>
      </c>
      <c r="AB364" s="78">
        <v>0</v>
      </c>
      <c r="AC364" s="78">
        <v>1</v>
      </c>
      <c r="AD364" s="78">
        <v>1</v>
      </c>
      <c r="AE364" s="78">
        <v>13</v>
      </c>
      <c r="AF364" s="78">
        <v>7</v>
      </c>
      <c r="AG364" s="78">
        <v>0</v>
      </c>
      <c r="AH364" s="78">
        <v>0</v>
      </c>
      <c r="AI364" s="78">
        <v>88</v>
      </c>
      <c r="AJ364" s="78">
        <v>0</v>
      </c>
      <c r="AK364" s="78">
        <v>0</v>
      </c>
      <c r="AL364" s="78">
        <v>0</v>
      </c>
      <c r="AM364" s="78">
        <v>0</v>
      </c>
    </row>
    <row r="365" spans="2:39" x14ac:dyDescent="0.35">
      <c r="B365" t="str">
        <f t="shared" si="262"/>
        <v>Orange County-1</v>
      </c>
      <c r="C365" t="str">
        <f t="shared" si="263"/>
        <v>Dec 2025-Orange County-1</v>
      </c>
      <c r="D365">
        <f t="shared" si="246"/>
        <v>1</v>
      </c>
      <c r="E365">
        <f t="shared" si="264"/>
        <v>1.04</v>
      </c>
      <c r="F365">
        <f t="shared" si="247"/>
        <v>4</v>
      </c>
      <c r="G365">
        <f t="shared" si="248"/>
        <v>1</v>
      </c>
      <c r="H365" t="str">
        <f>IF(V365="","",IFERROR(VLOOKUP(TRIM($V365),KEY!$B$2:$F$72,3,FALSE),""))</f>
        <v>Orange County</v>
      </c>
      <c r="I365" t="str">
        <f t="shared" si="265"/>
        <v>WEST-3</v>
      </c>
      <c r="J365" t="str">
        <f t="shared" si="266"/>
        <v>Apr 2026-WEST-3</v>
      </c>
      <c r="K365">
        <f t="shared" si="249"/>
        <v>3</v>
      </c>
      <c r="L365">
        <f t="shared" si="267"/>
        <v>3.19</v>
      </c>
      <c r="M365">
        <f>IF(V365="","",IFERROR(VLOOKUP(TRIM($V365),KEY!$B$2:$F$72,5,FALSE),""))</f>
        <v>19</v>
      </c>
      <c r="N365">
        <f t="shared" si="250"/>
        <v>3</v>
      </c>
      <c r="O365" t="str">
        <f t="shared" si="268"/>
        <v>BMW-1</v>
      </c>
      <c r="P365">
        <f t="shared" si="260"/>
        <v>1</v>
      </c>
      <c r="Q365">
        <f t="shared" si="261"/>
        <v>1.07</v>
      </c>
      <c r="R365">
        <f t="shared" si="251"/>
        <v>7</v>
      </c>
      <c r="S365">
        <f t="shared" si="252"/>
        <v>1</v>
      </c>
      <c r="T365" t="str">
        <f>IF(V365="","",IFERROR(VLOOKUP(TRIM($V365),KEY!$B$2:$F$72,2,FALSE),""))</f>
        <v>BMW</v>
      </c>
      <c r="V365" s="78" t="s">
        <v>173</v>
      </c>
      <c r="W365" s="78">
        <v>161</v>
      </c>
      <c r="X365" s="78">
        <v>31</v>
      </c>
      <c r="Y365" s="78">
        <v>19</v>
      </c>
      <c r="Z365" s="78">
        <v>3</v>
      </c>
      <c r="AA365" s="78">
        <v>31</v>
      </c>
      <c r="AB365" s="78">
        <v>0</v>
      </c>
      <c r="AC365" s="78">
        <v>1</v>
      </c>
      <c r="AD365" s="78">
        <v>35</v>
      </c>
      <c r="AE365" s="78">
        <v>22</v>
      </c>
      <c r="AF365" s="78">
        <v>0</v>
      </c>
      <c r="AG365" s="78">
        <v>0</v>
      </c>
      <c r="AH365" s="78">
        <v>125</v>
      </c>
      <c r="AI365" s="78">
        <v>78</v>
      </c>
      <c r="AJ365" s="78">
        <v>0</v>
      </c>
      <c r="AK365" s="78">
        <v>1</v>
      </c>
      <c r="AL365" s="78">
        <v>0</v>
      </c>
      <c r="AM365" s="78">
        <v>1</v>
      </c>
    </row>
    <row r="366" spans="2:39" x14ac:dyDescent="0.35">
      <c r="B366" t="str">
        <f t="shared" si="262"/>
        <v>Orange County-6</v>
      </c>
      <c r="C366" t="str">
        <f t="shared" si="263"/>
        <v>Dec 2025-Orange County-6</v>
      </c>
      <c r="D366">
        <f t="shared" si="246"/>
        <v>6</v>
      </c>
      <c r="E366">
        <f t="shared" si="264"/>
        <v>5.03</v>
      </c>
      <c r="F366">
        <f t="shared" si="247"/>
        <v>3</v>
      </c>
      <c r="G366">
        <f t="shared" si="248"/>
        <v>5</v>
      </c>
      <c r="H366" t="str">
        <f>IF(V366="","",IFERROR(VLOOKUP(TRIM($V366),KEY!$B$2:$F$72,3,FALSE),""))</f>
        <v>Orange County</v>
      </c>
      <c r="I366" t="str">
        <f t="shared" si="265"/>
        <v>WEST-25</v>
      </c>
      <c r="J366" t="str">
        <f t="shared" si="266"/>
        <v>Apr 2026-WEST-25</v>
      </c>
      <c r="K366">
        <f t="shared" si="249"/>
        <v>25</v>
      </c>
      <c r="L366">
        <f t="shared" si="267"/>
        <v>18.149999999999999</v>
      </c>
      <c r="M366">
        <f>IF(V366="","",IFERROR(VLOOKUP(TRIM($V366),KEY!$B$2:$F$72,5,FALSE),""))</f>
        <v>15</v>
      </c>
      <c r="N366">
        <f t="shared" si="250"/>
        <v>18</v>
      </c>
      <c r="O366" t="str">
        <f t="shared" si="268"/>
        <v>BMW-4</v>
      </c>
      <c r="P366">
        <f t="shared" si="260"/>
        <v>4</v>
      </c>
      <c r="Q366">
        <f t="shared" si="261"/>
        <v>4.05</v>
      </c>
      <c r="R366">
        <f t="shared" si="251"/>
        <v>5</v>
      </c>
      <c r="S366">
        <f t="shared" si="252"/>
        <v>4</v>
      </c>
      <c r="T366" t="str">
        <f>IF(V366="","",IFERROR(VLOOKUP(TRIM($V366),KEY!$B$2:$F$72,2,FALSE),""))</f>
        <v>BMW</v>
      </c>
      <c r="V366" s="78" t="s">
        <v>174</v>
      </c>
      <c r="W366" s="78">
        <v>63</v>
      </c>
      <c r="X366" s="78">
        <v>0</v>
      </c>
      <c r="Y366" s="78">
        <v>0</v>
      </c>
      <c r="Z366" s="78">
        <v>0</v>
      </c>
      <c r="AA366" s="78">
        <v>0</v>
      </c>
      <c r="AB366" s="78">
        <v>0</v>
      </c>
      <c r="AC366" s="78">
        <v>0</v>
      </c>
      <c r="AD366" s="78">
        <v>0</v>
      </c>
      <c r="AE366" s="78">
        <v>0</v>
      </c>
      <c r="AF366" s="78">
        <v>0</v>
      </c>
      <c r="AG366" s="78">
        <v>0</v>
      </c>
      <c r="AH366" s="78">
        <v>63</v>
      </c>
      <c r="AI366" s="78">
        <v>100</v>
      </c>
      <c r="AJ366" s="78">
        <v>0</v>
      </c>
      <c r="AK366" s="78">
        <v>0</v>
      </c>
      <c r="AL366" s="78">
        <v>0</v>
      </c>
      <c r="AM366" s="78">
        <v>0</v>
      </c>
    </row>
    <row r="367" spans="2:39" x14ac:dyDescent="0.35">
      <c r="B367" t="str">
        <f t="shared" si="262"/>
        <v>Orange County-2</v>
      </c>
      <c r="C367" t="str">
        <f t="shared" si="263"/>
        <v>Dec 2025-Orange County-2</v>
      </c>
      <c r="D367">
        <f t="shared" si="246"/>
        <v>2</v>
      </c>
      <c r="E367">
        <f t="shared" si="264"/>
        <v>2.0699999999999998</v>
      </c>
      <c r="F367">
        <f t="shared" si="247"/>
        <v>7</v>
      </c>
      <c r="G367">
        <f t="shared" si="248"/>
        <v>2</v>
      </c>
      <c r="H367" t="str">
        <f>IF(V367="","",IFERROR(VLOOKUP(TRIM($V367),KEY!$B$2:$F$72,3,FALSE),""))</f>
        <v>Orange County</v>
      </c>
      <c r="I367" t="str">
        <f t="shared" si="265"/>
        <v>WEST-12</v>
      </c>
      <c r="J367" t="str">
        <f t="shared" si="266"/>
        <v>Apr 2026-WEST-12</v>
      </c>
      <c r="K367">
        <f t="shared" si="249"/>
        <v>12</v>
      </c>
      <c r="L367">
        <f t="shared" si="267"/>
        <v>11.56</v>
      </c>
      <c r="M367">
        <f>IF(V367="","",IFERROR(VLOOKUP(TRIM($V367),KEY!$B$2:$F$72,5,FALSE),""))</f>
        <v>56</v>
      </c>
      <c r="N367">
        <f t="shared" si="250"/>
        <v>11</v>
      </c>
      <c r="O367" t="str">
        <f t="shared" si="268"/>
        <v>Subaru-1</v>
      </c>
      <c r="P367">
        <f t="shared" si="260"/>
        <v>1</v>
      </c>
      <c r="Q367">
        <f t="shared" si="261"/>
        <v>1.01</v>
      </c>
      <c r="R367">
        <f t="shared" si="251"/>
        <v>1</v>
      </c>
      <c r="S367">
        <f t="shared" si="252"/>
        <v>1</v>
      </c>
      <c r="T367" t="str">
        <f>IF(V367="","",IFERROR(VLOOKUP(TRIM($V367),KEY!$B$2:$F$72,2,FALSE),""))</f>
        <v>Subaru</v>
      </c>
      <c r="V367" s="78" t="s">
        <v>175</v>
      </c>
      <c r="W367" s="78">
        <v>17</v>
      </c>
      <c r="X367" s="78">
        <v>1</v>
      </c>
      <c r="Y367" s="78">
        <v>6</v>
      </c>
      <c r="Z367" s="78">
        <v>0</v>
      </c>
      <c r="AA367" s="78">
        <v>1</v>
      </c>
      <c r="AB367" s="78">
        <v>0</v>
      </c>
      <c r="AC367" s="78">
        <v>0</v>
      </c>
      <c r="AD367" s="78">
        <v>1</v>
      </c>
      <c r="AE367" s="78">
        <v>6</v>
      </c>
      <c r="AF367" s="78">
        <v>0</v>
      </c>
      <c r="AG367" s="78">
        <v>0</v>
      </c>
      <c r="AH367" s="78">
        <v>16</v>
      </c>
      <c r="AI367" s="78">
        <v>94</v>
      </c>
      <c r="AJ367" s="78">
        <v>0</v>
      </c>
      <c r="AK367" s="78">
        <v>0</v>
      </c>
      <c r="AL367" s="78">
        <v>0</v>
      </c>
      <c r="AM367" s="78">
        <v>0</v>
      </c>
    </row>
    <row r="368" spans="2:39" x14ac:dyDescent="0.35">
      <c r="B368" t="str">
        <f t="shared" si="262"/>
        <v>Orange County-4</v>
      </c>
      <c r="C368" t="str">
        <f t="shared" si="263"/>
        <v>Dec 2025-Orange County-4</v>
      </c>
      <c r="D368">
        <f t="shared" si="246"/>
        <v>4</v>
      </c>
      <c r="E368">
        <f t="shared" si="264"/>
        <v>4.0199999999999996</v>
      </c>
      <c r="F368">
        <f t="shared" si="247"/>
        <v>2</v>
      </c>
      <c r="G368">
        <f t="shared" si="248"/>
        <v>4</v>
      </c>
      <c r="H368" t="str">
        <f>IF(V368="","",IFERROR(VLOOKUP(TRIM($V368),KEY!$B$2:$F$72,3,FALSE),""))</f>
        <v>Orange County</v>
      </c>
      <c r="I368" t="str">
        <f t="shared" si="265"/>
        <v>WEST-15</v>
      </c>
      <c r="J368" t="str">
        <f t="shared" si="266"/>
        <v>Apr 2026-WEST-15</v>
      </c>
      <c r="K368">
        <f t="shared" si="249"/>
        <v>15</v>
      </c>
      <c r="L368">
        <f t="shared" si="267"/>
        <v>15.08</v>
      </c>
      <c r="M368">
        <f>IF(V368="","",IFERROR(VLOOKUP(TRIM($V368),KEY!$B$2:$F$72,5,FALSE),""))</f>
        <v>8</v>
      </c>
      <c r="N368">
        <f t="shared" si="250"/>
        <v>15</v>
      </c>
      <c r="O368" t="str">
        <f t="shared" si="268"/>
        <v>Audi-3</v>
      </c>
      <c r="P368">
        <f t="shared" si="260"/>
        <v>3</v>
      </c>
      <c r="Q368">
        <f t="shared" si="261"/>
        <v>2.06</v>
      </c>
      <c r="R368">
        <f t="shared" si="251"/>
        <v>6</v>
      </c>
      <c r="S368">
        <f t="shared" si="252"/>
        <v>2</v>
      </c>
      <c r="T368" t="str">
        <f>IF(V368="","",IFERROR(VLOOKUP(TRIM($V368),KEY!$B$2:$F$72,2,FALSE),""))</f>
        <v>Audi</v>
      </c>
      <c r="V368" s="78" t="s">
        <v>177</v>
      </c>
      <c r="W368" s="78">
        <v>90</v>
      </c>
      <c r="X368" s="78">
        <v>2</v>
      </c>
      <c r="Y368" s="78">
        <v>2</v>
      </c>
      <c r="Z368" s="78">
        <v>1</v>
      </c>
      <c r="AA368" s="78">
        <v>2</v>
      </c>
      <c r="AB368" s="78">
        <v>0</v>
      </c>
      <c r="AC368" s="78">
        <v>0</v>
      </c>
      <c r="AD368" s="78">
        <v>3</v>
      </c>
      <c r="AE368" s="78">
        <v>3</v>
      </c>
      <c r="AF368" s="78">
        <v>0</v>
      </c>
      <c r="AG368" s="78">
        <v>0</v>
      </c>
      <c r="AH368" s="78">
        <v>86</v>
      </c>
      <c r="AI368" s="78">
        <v>96</v>
      </c>
      <c r="AJ368" s="78">
        <v>1</v>
      </c>
      <c r="AK368" s="78">
        <v>0</v>
      </c>
      <c r="AL368" s="78">
        <v>0</v>
      </c>
      <c r="AM368" s="78">
        <v>1</v>
      </c>
    </row>
    <row r="369" spans="2:39" x14ac:dyDescent="0.35">
      <c r="B369" t="str">
        <f t="shared" si="262"/>
        <v>Orange County-5</v>
      </c>
      <c r="C369" t="str">
        <f t="shared" si="263"/>
        <v>Dec 2025-Orange County-5</v>
      </c>
      <c r="D369">
        <f t="shared" si="246"/>
        <v>5</v>
      </c>
      <c r="E369">
        <f t="shared" si="264"/>
        <v>5.01</v>
      </c>
      <c r="F369">
        <f t="shared" si="247"/>
        <v>1</v>
      </c>
      <c r="G369">
        <f t="shared" si="248"/>
        <v>5</v>
      </c>
      <c r="H369" t="str">
        <f>IF(V369="","",IFERROR(VLOOKUP(TRIM($V369),KEY!$B$2:$F$72,3,FALSE),""))</f>
        <v>Orange County</v>
      </c>
      <c r="I369" t="str">
        <f t="shared" si="265"/>
        <v>WEST-20</v>
      </c>
      <c r="J369" t="str">
        <f t="shared" si="266"/>
        <v>Apr 2026-WEST-20</v>
      </c>
      <c r="K369">
        <f t="shared" si="249"/>
        <v>20</v>
      </c>
      <c r="L369">
        <f t="shared" si="267"/>
        <v>18.05</v>
      </c>
      <c r="M369">
        <f>IF(V369="","",IFERROR(VLOOKUP(TRIM($V369),KEY!$B$2:$F$72,5,FALSE),""))</f>
        <v>5</v>
      </c>
      <c r="N369">
        <f t="shared" si="250"/>
        <v>18</v>
      </c>
      <c r="O369" t="str">
        <f t="shared" si="268"/>
        <v>Audi-4</v>
      </c>
      <c r="P369">
        <f t="shared" si="260"/>
        <v>4</v>
      </c>
      <c r="Q369">
        <f t="shared" si="261"/>
        <v>4.03</v>
      </c>
      <c r="R369">
        <f t="shared" si="251"/>
        <v>3</v>
      </c>
      <c r="S369">
        <f t="shared" si="252"/>
        <v>4</v>
      </c>
      <c r="T369" t="str">
        <f>IF(V369="","",IFERROR(VLOOKUP(TRIM($V369),KEY!$B$2:$F$72,2,FALSE),""))</f>
        <v>Audi</v>
      </c>
      <c r="V369" s="78" t="s">
        <v>178</v>
      </c>
      <c r="W369" s="78">
        <v>19</v>
      </c>
      <c r="X369" s="78">
        <v>0</v>
      </c>
      <c r="Y369" s="78">
        <v>0</v>
      </c>
      <c r="Z369" s="78">
        <v>0</v>
      </c>
      <c r="AA369" s="78">
        <v>0</v>
      </c>
      <c r="AB369" s="78">
        <v>0</v>
      </c>
      <c r="AC369" s="78">
        <v>1</v>
      </c>
      <c r="AD369" s="78">
        <v>1</v>
      </c>
      <c r="AE369" s="78">
        <v>5</v>
      </c>
      <c r="AF369" s="78">
        <v>0</v>
      </c>
      <c r="AG369" s="78">
        <v>0</v>
      </c>
      <c r="AH369" s="78">
        <v>17</v>
      </c>
      <c r="AI369" s="78">
        <v>89</v>
      </c>
      <c r="AJ369" s="78">
        <v>0</v>
      </c>
      <c r="AK369" s="78">
        <v>1</v>
      </c>
      <c r="AL369" s="78">
        <v>0</v>
      </c>
      <c r="AM369" s="78">
        <v>5</v>
      </c>
    </row>
    <row r="370" spans="2:39" x14ac:dyDescent="0.35">
      <c r="B370" t="str">
        <f t="shared" si="262"/>
        <v>Orange County-7</v>
      </c>
      <c r="C370" t="str">
        <f t="shared" si="263"/>
        <v>Dec 2025-Orange County-7</v>
      </c>
      <c r="D370">
        <f t="shared" si="246"/>
        <v>7</v>
      </c>
      <c r="E370">
        <f t="shared" si="264"/>
        <v>5.05</v>
      </c>
      <c r="F370">
        <f t="shared" si="247"/>
        <v>5</v>
      </c>
      <c r="G370">
        <f t="shared" si="248"/>
        <v>5</v>
      </c>
      <c r="H370" t="str">
        <f>IF(V370="","",IFERROR(VLOOKUP(TRIM($V370),KEY!$B$2:$F$72,3,FALSE),""))</f>
        <v>Orange County</v>
      </c>
      <c r="I370" t="str">
        <f t="shared" si="265"/>
        <v>WEST-29</v>
      </c>
      <c r="J370" t="str">
        <f t="shared" si="266"/>
        <v>Apr 2026-WEST-29</v>
      </c>
      <c r="K370">
        <f t="shared" si="249"/>
        <v>29</v>
      </c>
      <c r="L370">
        <f t="shared" si="267"/>
        <v>18.2</v>
      </c>
      <c r="M370">
        <f>IF(V370="","",IFERROR(VLOOKUP(TRIM($V370),KEY!$B$2:$F$72,5,FALSE),""))</f>
        <v>20</v>
      </c>
      <c r="N370">
        <f t="shared" si="250"/>
        <v>18</v>
      </c>
      <c r="O370" t="str">
        <f t="shared" si="268"/>
        <v>MINI-1</v>
      </c>
      <c r="P370">
        <f t="shared" si="260"/>
        <v>1</v>
      </c>
      <c r="Q370">
        <f t="shared" si="261"/>
        <v>1.01</v>
      </c>
      <c r="R370">
        <f t="shared" si="251"/>
        <v>1</v>
      </c>
      <c r="S370">
        <f t="shared" si="252"/>
        <v>1</v>
      </c>
      <c r="T370" t="str">
        <f>IF(V370="","",IFERROR(VLOOKUP(TRIM($V370),KEY!$B$2:$F$72,2,FALSE),""))</f>
        <v>MINI</v>
      </c>
      <c r="V370" s="78" t="s">
        <v>179</v>
      </c>
      <c r="W370" s="78">
        <v>7</v>
      </c>
      <c r="X370" s="78">
        <v>0</v>
      </c>
      <c r="Y370" s="78">
        <v>0</v>
      </c>
      <c r="Z370" s="78">
        <v>0</v>
      </c>
      <c r="AA370" s="78">
        <v>0</v>
      </c>
      <c r="AB370" s="78">
        <v>0</v>
      </c>
      <c r="AC370" s="78">
        <v>0</v>
      </c>
      <c r="AD370" s="78">
        <v>0</v>
      </c>
      <c r="AE370" s="78">
        <v>0</v>
      </c>
      <c r="AF370" s="78">
        <v>7</v>
      </c>
      <c r="AG370" s="78">
        <v>0</v>
      </c>
      <c r="AH370" s="78">
        <v>0</v>
      </c>
      <c r="AI370" s="78">
        <v>100</v>
      </c>
      <c r="AJ370" s="78">
        <v>0</v>
      </c>
      <c r="AK370" s="78">
        <v>0</v>
      </c>
      <c r="AL370" s="78">
        <v>0</v>
      </c>
      <c r="AM370" s="78">
        <v>0</v>
      </c>
    </row>
    <row r="371" spans="2:39" x14ac:dyDescent="0.35">
      <c r="B371" t="str">
        <f t="shared" si="262"/>
        <v>Southern California-3</v>
      </c>
      <c r="C371" t="str">
        <f t="shared" si="263"/>
        <v>Dec 2025-Southern California-3</v>
      </c>
      <c r="D371">
        <f t="shared" ref="D371:D402" si="269">IF(V371="","",COUNTIFS($H$339:$H$408,H371,$E$339:$E$408,"&lt;"&amp;E371)+1)</f>
        <v>3</v>
      </c>
      <c r="E371">
        <f t="shared" si="264"/>
        <v>3.01</v>
      </c>
      <c r="F371">
        <f t="shared" ref="F371:F402" si="270">IF(V371="","",COUNTIFS($H$339:$H$408,H371,$V$339:$V$408,"&lt;"&amp;V371)+1)</f>
        <v>1</v>
      </c>
      <c r="G371">
        <f t="shared" ref="G371:G402" si="271">IF(V371="","",COUNTIFS($H$339:$H$408,H371,$Y$339:$Y$408,"&gt;"&amp;Y371)+1)</f>
        <v>3</v>
      </c>
      <c r="H371" t="str">
        <f>IF(V371="","",IFERROR(VLOOKUP(TRIM($V371),KEY!$B$2:$F$72,3,FALSE),""))</f>
        <v>Southern California</v>
      </c>
      <c r="I371" t="str">
        <f t="shared" si="265"/>
        <v>WEST-18</v>
      </c>
      <c r="J371" t="str">
        <f t="shared" si="266"/>
        <v>Apr 2026-WEST-18</v>
      </c>
      <c r="K371">
        <f t="shared" ref="K371:K402" si="272">IFERROR(IF(V371="","",RANK(L371,$L$339:$L$408,1)),"-")</f>
        <v>18</v>
      </c>
      <c r="L371">
        <f t="shared" si="267"/>
        <v>18.02</v>
      </c>
      <c r="M371">
        <f>IF(V371="","",IFERROR(VLOOKUP(TRIM($V371),KEY!$B$2:$F$72,5,FALSE),""))</f>
        <v>2</v>
      </c>
      <c r="N371">
        <f t="shared" ref="N371:N402" si="273">IFERROR(IF(V371="","",RANK(Y371,$Y$339:$Y$408)),"-")</f>
        <v>18</v>
      </c>
      <c r="O371" t="str">
        <f t="shared" si="268"/>
        <v>Acura-2</v>
      </c>
      <c r="P371">
        <f t="shared" si="260"/>
        <v>2</v>
      </c>
      <c r="Q371">
        <f t="shared" si="261"/>
        <v>2.02</v>
      </c>
      <c r="R371">
        <f t="shared" ref="R371:R402" si="274">IF(V371="","",COUNTIFS($T$339:$T$408,T371,$V$339:$V$408,"&lt;"&amp;V371)+1)</f>
        <v>2</v>
      </c>
      <c r="S371">
        <f t="shared" ref="S371:S402" si="275">IF(V371="","",COUNTIFS($T$339:$T$408,T371,$Y$339:$Y$408,"&gt;"&amp;Y371)+1)</f>
        <v>2</v>
      </c>
      <c r="T371" t="str">
        <f>IF(V371="","",IFERROR(VLOOKUP(TRIM($V371),KEY!$B$2:$F$72,2,FALSE),""))</f>
        <v>Acura</v>
      </c>
      <c r="V371" s="78" t="s">
        <v>180</v>
      </c>
      <c r="W371" s="78">
        <v>12</v>
      </c>
      <c r="X371" s="78">
        <v>0</v>
      </c>
      <c r="Y371" s="78">
        <v>0</v>
      </c>
      <c r="Z371" s="78">
        <v>0</v>
      </c>
      <c r="AA371" s="78">
        <v>0</v>
      </c>
      <c r="AB371" s="78">
        <v>0</v>
      </c>
      <c r="AC371" s="78">
        <v>0</v>
      </c>
      <c r="AD371" s="78">
        <v>0</v>
      </c>
      <c r="AE371" s="78">
        <v>0</v>
      </c>
      <c r="AF371" s="78">
        <v>0</v>
      </c>
      <c r="AG371" s="78">
        <v>0</v>
      </c>
      <c r="AH371" s="78">
        <v>12</v>
      </c>
      <c r="AI371" s="78">
        <v>100</v>
      </c>
      <c r="AJ371" s="78">
        <v>0</v>
      </c>
      <c r="AK371" s="78">
        <v>0</v>
      </c>
      <c r="AL371" s="78">
        <v>0</v>
      </c>
      <c r="AM371" s="78">
        <v>0</v>
      </c>
    </row>
    <row r="372" spans="2:39" x14ac:dyDescent="0.35">
      <c r="B372" t="str">
        <f t="shared" si="262"/>
        <v>Southern California-7</v>
      </c>
      <c r="C372" t="str">
        <f t="shared" si="263"/>
        <v>Dec 2025-Southern California-7</v>
      </c>
      <c r="D372">
        <f t="shared" si="269"/>
        <v>7</v>
      </c>
      <c r="E372">
        <f t="shared" si="264"/>
        <v>3.05</v>
      </c>
      <c r="F372">
        <f t="shared" si="270"/>
        <v>5</v>
      </c>
      <c r="G372">
        <f t="shared" si="271"/>
        <v>3</v>
      </c>
      <c r="H372" t="str">
        <f>IF(V372="","",IFERROR(VLOOKUP(TRIM($V372),KEY!$B$2:$F$72,3,FALSE),""))</f>
        <v>Southern California</v>
      </c>
      <c r="I372" t="str">
        <f t="shared" si="265"/>
        <v>WEST-32</v>
      </c>
      <c r="J372" t="str">
        <f t="shared" si="266"/>
        <v>Apr 2026-WEST-32</v>
      </c>
      <c r="K372">
        <f t="shared" si="272"/>
        <v>32</v>
      </c>
      <c r="L372">
        <f t="shared" si="267"/>
        <v>18.25</v>
      </c>
      <c r="M372">
        <f>IF(V372="","",IFERROR(VLOOKUP(TRIM($V372),KEY!$B$2:$F$72,5,FALSE),""))</f>
        <v>25</v>
      </c>
      <c r="N372">
        <f t="shared" si="273"/>
        <v>18</v>
      </c>
      <c r="O372" t="str">
        <f t="shared" si="268"/>
        <v>Honda-2</v>
      </c>
      <c r="P372">
        <f t="shared" si="260"/>
        <v>2</v>
      </c>
      <c r="Q372">
        <f t="shared" si="261"/>
        <v>2.04</v>
      </c>
      <c r="R372">
        <f t="shared" si="274"/>
        <v>4</v>
      </c>
      <c r="S372">
        <f t="shared" si="275"/>
        <v>2</v>
      </c>
      <c r="T372" t="str">
        <f>IF(V372="","",IFERROR(VLOOKUP(TRIM($V372),KEY!$B$2:$F$72,2,FALSE),""))</f>
        <v>Honda</v>
      </c>
      <c r="V372" s="78" t="s">
        <v>181</v>
      </c>
      <c r="W372" s="78">
        <v>24</v>
      </c>
      <c r="X372" s="78">
        <v>0</v>
      </c>
      <c r="Y372" s="78">
        <v>0</v>
      </c>
      <c r="Z372" s="78">
        <v>0</v>
      </c>
      <c r="AA372" s="78">
        <v>0</v>
      </c>
      <c r="AB372" s="78">
        <v>0</v>
      </c>
      <c r="AC372" s="78">
        <v>0</v>
      </c>
      <c r="AD372" s="78">
        <v>0</v>
      </c>
      <c r="AE372" s="78">
        <v>0</v>
      </c>
      <c r="AF372" s="78">
        <v>0</v>
      </c>
      <c r="AG372" s="78">
        <v>0</v>
      </c>
      <c r="AH372" s="78">
        <v>24</v>
      </c>
      <c r="AI372" s="78">
        <v>100</v>
      </c>
      <c r="AJ372" s="78">
        <v>0</v>
      </c>
      <c r="AK372" s="78">
        <v>0</v>
      </c>
      <c r="AL372" s="78">
        <v>0</v>
      </c>
      <c r="AM372" s="78">
        <v>0</v>
      </c>
    </row>
    <row r="373" spans="2:39" x14ac:dyDescent="0.35">
      <c r="B373" t="str">
        <f t="shared" si="262"/>
        <v>Southern California-8</v>
      </c>
      <c r="C373" t="str">
        <f t="shared" si="263"/>
        <v>Dec 2025-Southern California-8</v>
      </c>
      <c r="D373">
        <f t="shared" si="269"/>
        <v>8</v>
      </c>
      <c r="E373">
        <f t="shared" si="264"/>
        <v>3.07</v>
      </c>
      <c r="F373">
        <f t="shared" si="270"/>
        <v>7</v>
      </c>
      <c r="G373">
        <f t="shared" si="271"/>
        <v>3</v>
      </c>
      <c r="H373" t="str">
        <f>IF(V373="","",IFERROR(VLOOKUP(TRIM($V373),KEY!$B$2:$F$72,3,FALSE),""))</f>
        <v>Southern California</v>
      </c>
      <c r="I373" t="str">
        <f t="shared" si="265"/>
        <v>WEST-37</v>
      </c>
      <c r="J373" t="str">
        <f t="shared" si="266"/>
        <v>Apr 2026-WEST-37</v>
      </c>
      <c r="K373">
        <f t="shared" si="272"/>
        <v>37</v>
      </c>
      <c r="L373">
        <f t="shared" si="267"/>
        <v>18.329999999999998</v>
      </c>
      <c r="M373">
        <f>IF(V373="","",IFERROR(VLOOKUP(TRIM($V373),KEY!$B$2:$F$72,5,FALSE),""))</f>
        <v>33</v>
      </c>
      <c r="N373">
        <f t="shared" si="273"/>
        <v>18</v>
      </c>
      <c r="O373" t="str">
        <f t="shared" si="268"/>
        <v>Lexus-2</v>
      </c>
      <c r="P373">
        <f t="shared" si="260"/>
        <v>2</v>
      </c>
      <c r="Q373">
        <f t="shared" si="261"/>
        <v>1.04</v>
      </c>
      <c r="R373">
        <f t="shared" si="274"/>
        <v>4</v>
      </c>
      <c r="S373">
        <f t="shared" si="275"/>
        <v>1</v>
      </c>
      <c r="T373" t="str">
        <f>IF(V373="","",IFERROR(VLOOKUP(TRIM($V373),KEY!$B$2:$F$72,2,FALSE),""))</f>
        <v>Lexus</v>
      </c>
      <c r="V373" s="78" t="s">
        <v>182</v>
      </c>
      <c r="W373" s="78">
        <v>20</v>
      </c>
      <c r="X373" s="78">
        <v>0</v>
      </c>
      <c r="Y373" s="78">
        <v>0</v>
      </c>
      <c r="Z373" s="78">
        <v>0</v>
      </c>
      <c r="AA373" s="78">
        <v>0</v>
      </c>
      <c r="AB373" s="78">
        <v>0</v>
      </c>
      <c r="AC373" s="78">
        <v>0</v>
      </c>
      <c r="AD373" s="78">
        <v>0</v>
      </c>
      <c r="AE373" s="78">
        <v>0</v>
      </c>
      <c r="AF373" s="78">
        <v>0</v>
      </c>
      <c r="AG373" s="78">
        <v>0</v>
      </c>
      <c r="AH373" s="78">
        <v>20</v>
      </c>
      <c r="AI373" s="78">
        <v>100</v>
      </c>
      <c r="AJ373" s="78">
        <v>0</v>
      </c>
      <c r="AK373" s="78">
        <v>0</v>
      </c>
      <c r="AL373" s="78">
        <v>0</v>
      </c>
      <c r="AM373" s="78">
        <v>0</v>
      </c>
    </row>
    <row r="374" spans="2:39" x14ac:dyDescent="0.35">
      <c r="B374" t="str">
        <f t="shared" si="262"/>
        <v>Southern California-1</v>
      </c>
      <c r="C374" t="str">
        <f t="shared" si="263"/>
        <v>Dec 2025-Southern California-1</v>
      </c>
      <c r="D374">
        <f t="shared" si="269"/>
        <v>1</v>
      </c>
      <c r="E374">
        <f t="shared" si="264"/>
        <v>1.06</v>
      </c>
      <c r="F374">
        <f t="shared" si="270"/>
        <v>6</v>
      </c>
      <c r="G374">
        <f t="shared" si="271"/>
        <v>1</v>
      </c>
      <c r="H374" t="str">
        <f>IF(V374="","",IFERROR(VLOOKUP(TRIM($V374),KEY!$B$2:$F$72,3,FALSE),""))</f>
        <v>Southern California</v>
      </c>
      <c r="I374" t="str">
        <f t="shared" si="265"/>
        <v>WEST-9</v>
      </c>
      <c r="J374" t="str">
        <f t="shared" si="266"/>
        <v>Apr 2026-WEST-9</v>
      </c>
      <c r="K374">
        <f t="shared" si="272"/>
        <v>9</v>
      </c>
      <c r="L374">
        <f t="shared" si="267"/>
        <v>9.26</v>
      </c>
      <c r="M374">
        <f>IF(V374="","",IFERROR(VLOOKUP(TRIM($V374),KEY!$B$2:$F$72,5,FALSE),""))</f>
        <v>26</v>
      </c>
      <c r="N374">
        <f t="shared" si="273"/>
        <v>9</v>
      </c>
      <c r="O374" t="str">
        <f t="shared" si="268"/>
        <v>Toyota-2</v>
      </c>
      <c r="P374">
        <f t="shared" si="260"/>
        <v>2</v>
      </c>
      <c r="Q374">
        <f t="shared" si="261"/>
        <v>2.02</v>
      </c>
      <c r="R374">
        <f t="shared" si="274"/>
        <v>2</v>
      </c>
      <c r="S374">
        <f t="shared" si="275"/>
        <v>2</v>
      </c>
      <c r="T374" t="str">
        <f>IF(V374="","",IFERROR(VLOOKUP(TRIM($V374),KEY!$B$2:$F$72,2,FALSE),""))</f>
        <v>Toyota</v>
      </c>
      <c r="V374" s="78" t="s">
        <v>183</v>
      </c>
      <c r="W374" s="78">
        <v>13</v>
      </c>
      <c r="X374" s="78">
        <v>1</v>
      </c>
      <c r="Y374" s="78">
        <v>8</v>
      </c>
      <c r="Z374" s="78">
        <v>1</v>
      </c>
      <c r="AA374" s="78">
        <v>1</v>
      </c>
      <c r="AB374" s="78">
        <v>0</v>
      </c>
      <c r="AC374" s="78">
        <v>1</v>
      </c>
      <c r="AD374" s="78">
        <v>3</v>
      </c>
      <c r="AE374" s="78">
        <v>23</v>
      </c>
      <c r="AF374" s="78">
        <v>0</v>
      </c>
      <c r="AG374" s="78">
        <v>0</v>
      </c>
      <c r="AH374" s="78">
        <v>10</v>
      </c>
      <c r="AI374" s="78">
        <v>77</v>
      </c>
      <c r="AJ374" s="78">
        <v>0</v>
      </c>
      <c r="AK374" s="78">
        <v>0</v>
      </c>
      <c r="AL374" s="78">
        <v>0</v>
      </c>
      <c r="AM374" s="78">
        <v>0</v>
      </c>
    </row>
    <row r="375" spans="2:39" x14ac:dyDescent="0.35">
      <c r="B375" t="str">
        <f t="shared" si="253"/>
        <v>Southern California-9</v>
      </c>
      <c r="C375" t="str">
        <f t="shared" si="254"/>
        <v>Dec 2025-Southern California-9</v>
      </c>
      <c r="D375">
        <f t="shared" si="269"/>
        <v>9</v>
      </c>
      <c r="E375">
        <f t="shared" si="255"/>
        <v>3.08</v>
      </c>
      <c r="F375">
        <f t="shared" si="270"/>
        <v>8</v>
      </c>
      <c r="G375">
        <f t="shared" si="271"/>
        <v>3</v>
      </c>
      <c r="H375" t="str">
        <f>IF(V375="","",IFERROR(VLOOKUP(TRIM($V375),KEY!$B$2:$F$72,3,FALSE),""))</f>
        <v>Southern California</v>
      </c>
      <c r="I375" t="str">
        <f t="shared" si="256"/>
        <v>WEST-39</v>
      </c>
      <c r="J375" t="str">
        <f t="shared" si="257"/>
        <v>Apr 2026-WEST-39</v>
      </c>
      <c r="K375">
        <f t="shared" si="272"/>
        <v>39</v>
      </c>
      <c r="L375">
        <f t="shared" si="258"/>
        <v>18.350000000000001</v>
      </c>
      <c r="M375">
        <f>IF(V375="","",IFERROR(VLOOKUP(TRIM($V375),KEY!$B$2:$F$72,5,FALSE),""))</f>
        <v>35</v>
      </c>
      <c r="N375">
        <f t="shared" si="273"/>
        <v>18</v>
      </c>
      <c r="O375" t="str">
        <f t="shared" si="259"/>
        <v>Mazda-1</v>
      </c>
      <c r="P375">
        <f t="shared" si="260"/>
        <v>1</v>
      </c>
      <c r="Q375">
        <f t="shared" si="261"/>
        <v>1.01</v>
      </c>
      <c r="R375">
        <f t="shared" si="274"/>
        <v>1</v>
      </c>
      <c r="S375">
        <f t="shared" si="275"/>
        <v>1</v>
      </c>
      <c r="T375" t="str">
        <f>IF(V375="","",IFERROR(VLOOKUP(TRIM($V375),KEY!$B$2:$F$72,2,FALSE),""))</f>
        <v>Mazda</v>
      </c>
      <c r="V375" s="78" t="s">
        <v>184</v>
      </c>
      <c r="W375" s="78">
        <v>20</v>
      </c>
      <c r="X375" s="78">
        <v>0</v>
      </c>
      <c r="Y375" s="78">
        <v>0</v>
      </c>
      <c r="Z375" s="78">
        <v>0</v>
      </c>
      <c r="AA375" s="78">
        <v>0</v>
      </c>
      <c r="AB375" s="78">
        <v>0</v>
      </c>
      <c r="AC375" s="78">
        <v>0</v>
      </c>
      <c r="AD375" s="78">
        <v>0</v>
      </c>
      <c r="AE375" s="78">
        <v>0</v>
      </c>
      <c r="AF375" s="78">
        <v>0</v>
      </c>
      <c r="AG375" s="78">
        <v>0</v>
      </c>
      <c r="AH375" s="78">
        <v>20</v>
      </c>
      <c r="AI375" s="78">
        <v>100</v>
      </c>
      <c r="AJ375" s="78">
        <v>0</v>
      </c>
      <c r="AK375" s="78">
        <v>0</v>
      </c>
      <c r="AL375" s="78">
        <v>0</v>
      </c>
      <c r="AM375" s="78">
        <v>0</v>
      </c>
    </row>
    <row r="376" spans="2:39" x14ac:dyDescent="0.35">
      <c r="B376" t="str">
        <f t="shared" si="253"/>
        <v>Southern California-6</v>
      </c>
      <c r="C376" t="str">
        <f t="shared" si="254"/>
        <v>Dec 2025-Southern California-6</v>
      </c>
      <c r="D376">
        <f t="shared" si="269"/>
        <v>6</v>
      </c>
      <c r="E376">
        <f t="shared" si="255"/>
        <v>3.04</v>
      </c>
      <c r="F376">
        <f t="shared" si="270"/>
        <v>4</v>
      </c>
      <c r="G376">
        <f t="shared" si="271"/>
        <v>3</v>
      </c>
      <c r="H376" t="str">
        <f>IF(V376="","",IFERROR(VLOOKUP(TRIM($V376),KEY!$B$2:$F$72,3,FALSE),""))</f>
        <v>Southern California</v>
      </c>
      <c r="I376" t="str">
        <f t="shared" si="256"/>
        <v>WEST-26</v>
      </c>
      <c r="J376" t="str">
        <f t="shared" si="257"/>
        <v>Apr 2026-WEST-26</v>
      </c>
      <c r="K376">
        <f t="shared" si="272"/>
        <v>26</v>
      </c>
      <c r="L376">
        <f t="shared" si="258"/>
        <v>18.16</v>
      </c>
      <c r="M376">
        <f>IF(V376="","",IFERROR(VLOOKUP(TRIM($V376),KEY!$B$2:$F$72,5,FALSE),""))</f>
        <v>16</v>
      </c>
      <c r="N376">
        <f t="shared" si="273"/>
        <v>18</v>
      </c>
      <c r="O376" t="str">
        <f t="shared" si="259"/>
        <v>BMW-4</v>
      </c>
      <c r="P376">
        <f t="shared" si="260"/>
        <v>4</v>
      </c>
      <c r="Q376">
        <f t="shared" si="261"/>
        <v>4.0599999999999996</v>
      </c>
      <c r="R376">
        <f t="shared" si="274"/>
        <v>6</v>
      </c>
      <c r="S376">
        <f t="shared" si="275"/>
        <v>4</v>
      </c>
      <c r="T376" t="str">
        <f>IF(V376="","",IFERROR(VLOOKUP(TRIM($V376),KEY!$B$2:$F$72,2,FALSE),""))</f>
        <v>BMW</v>
      </c>
      <c r="V376" s="78" t="s">
        <v>186</v>
      </c>
      <c r="W376" s="78">
        <v>63</v>
      </c>
      <c r="X376" s="78">
        <v>0</v>
      </c>
      <c r="Y376" s="78">
        <v>0</v>
      </c>
      <c r="Z376" s="78">
        <v>0</v>
      </c>
      <c r="AA376" s="78">
        <v>0</v>
      </c>
      <c r="AB376" s="78">
        <v>0</v>
      </c>
      <c r="AC376" s="78">
        <v>0</v>
      </c>
      <c r="AD376" s="78">
        <v>0</v>
      </c>
      <c r="AE376" s="78">
        <v>0</v>
      </c>
      <c r="AF376" s="78">
        <v>0</v>
      </c>
      <c r="AG376" s="78">
        <v>0</v>
      </c>
      <c r="AH376" s="78">
        <v>63</v>
      </c>
      <c r="AI376" s="78">
        <v>100</v>
      </c>
      <c r="AJ376" s="78">
        <v>0</v>
      </c>
      <c r="AK376" s="78">
        <v>0</v>
      </c>
      <c r="AL376" s="78">
        <v>0</v>
      </c>
      <c r="AM376" s="78">
        <v>0</v>
      </c>
    </row>
    <row r="377" spans="2:39" x14ac:dyDescent="0.35">
      <c r="B377" t="str">
        <f t="shared" si="253"/>
        <v>Southern California-2</v>
      </c>
      <c r="C377" t="str">
        <f t="shared" si="254"/>
        <v>Dec 2025-Southern California-2</v>
      </c>
      <c r="D377">
        <f t="shared" si="269"/>
        <v>2</v>
      </c>
      <c r="E377">
        <f t="shared" si="255"/>
        <v>2.09</v>
      </c>
      <c r="F377">
        <f t="shared" si="270"/>
        <v>9</v>
      </c>
      <c r="G377">
        <f t="shared" si="271"/>
        <v>2</v>
      </c>
      <c r="H377" t="str">
        <f>IF(V377="","",IFERROR(VLOOKUP(TRIM($V377),KEY!$B$2:$F$72,3,FALSE),""))</f>
        <v>Southern California</v>
      </c>
      <c r="I377" t="str">
        <f t="shared" si="256"/>
        <v>WEST-10</v>
      </c>
      <c r="J377" t="str">
        <f t="shared" si="257"/>
        <v>Apr 2026-WEST-10</v>
      </c>
      <c r="K377">
        <f t="shared" si="272"/>
        <v>10</v>
      </c>
      <c r="L377">
        <f t="shared" si="258"/>
        <v>10.38</v>
      </c>
      <c r="M377">
        <f>IF(V377="","",IFERROR(VLOOKUP(TRIM($V377),KEY!$B$2:$F$72,5,FALSE),""))</f>
        <v>38</v>
      </c>
      <c r="N377">
        <f t="shared" si="273"/>
        <v>10</v>
      </c>
      <c r="O377" t="str">
        <f t="shared" si="259"/>
        <v>Mercedes-Benz-4</v>
      </c>
      <c r="P377">
        <f t="shared" si="260"/>
        <v>4</v>
      </c>
      <c r="Q377">
        <f t="shared" si="261"/>
        <v>3.03</v>
      </c>
      <c r="R377">
        <f t="shared" si="274"/>
        <v>3</v>
      </c>
      <c r="S377">
        <f t="shared" si="275"/>
        <v>3</v>
      </c>
      <c r="T377" t="str">
        <f>IF(V377="","",IFERROR(VLOOKUP(TRIM($V377),KEY!$B$2:$F$72,2,FALSE),""))</f>
        <v>Mercedes-Benz</v>
      </c>
      <c r="V377" s="78" t="s">
        <v>187</v>
      </c>
      <c r="W377" s="78">
        <v>27</v>
      </c>
      <c r="X377" s="78">
        <v>2</v>
      </c>
      <c r="Y377" s="78">
        <v>7</v>
      </c>
      <c r="Z377" s="78">
        <v>0</v>
      </c>
      <c r="AA377" s="78">
        <v>2</v>
      </c>
      <c r="AB377" s="78">
        <v>0</v>
      </c>
      <c r="AC377" s="78">
        <v>0</v>
      </c>
      <c r="AD377" s="78">
        <v>2</v>
      </c>
      <c r="AE377" s="78">
        <v>7</v>
      </c>
      <c r="AF377" s="78">
        <v>1</v>
      </c>
      <c r="AG377" s="78">
        <v>0</v>
      </c>
      <c r="AH377" s="78">
        <v>24</v>
      </c>
      <c r="AI377" s="78">
        <v>93</v>
      </c>
      <c r="AJ377" s="78">
        <v>0</v>
      </c>
      <c r="AK377" s="78">
        <v>0</v>
      </c>
      <c r="AL377" s="78">
        <v>0</v>
      </c>
      <c r="AM377" s="78">
        <v>0</v>
      </c>
    </row>
    <row r="378" spans="2:39" x14ac:dyDescent="0.35">
      <c r="B378" t="str">
        <f t="shared" si="253"/>
        <v>Southern California-5</v>
      </c>
      <c r="C378" t="str">
        <f t="shared" si="254"/>
        <v>Dec 2025-Southern California-5</v>
      </c>
      <c r="D378">
        <f t="shared" si="269"/>
        <v>5</v>
      </c>
      <c r="E378">
        <f t="shared" si="255"/>
        <v>3.03</v>
      </c>
      <c r="F378">
        <f t="shared" si="270"/>
        <v>3</v>
      </c>
      <c r="G378">
        <f t="shared" si="271"/>
        <v>3</v>
      </c>
      <c r="H378" t="str">
        <f>IF(V378="","",IFERROR(VLOOKUP(TRIM($V378),KEY!$B$2:$F$72,3,FALSE),""))</f>
        <v>Southern California</v>
      </c>
      <c r="I378" t="str">
        <f t="shared" si="256"/>
        <v>WEST-24</v>
      </c>
      <c r="J378" t="str">
        <f t="shared" si="257"/>
        <v>Apr 2026-WEST-24</v>
      </c>
      <c r="K378">
        <f t="shared" si="272"/>
        <v>24</v>
      </c>
      <c r="L378">
        <f t="shared" si="258"/>
        <v>18.14</v>
      </c>
      <c r="M378">
        <f>IF(V378="","",IFERROR(VLOOKUP(TRIM($V378),KEY!$B$2:$F$72,5,FALSE),""))</f>
        <v>14</v>
      </c>
      <c r="N378">
        <f t="shared" si="273"/>
        <v>18</v>
      </c>
      <c r="O378" t="str">
        <f t="shared" si="259"/>
        <v>BMW-4</v>
      </c>
      <c r="P378">
        <f t="shared" si="260"/>
        <v>4</v>
      </c>
      <c r="Q378">
        <f t="shared" si="261"/>
        <v>4.04</v>
      </c>
      <c r="R378">
        <f t="shared" si="274"/>
        <v>4</v>
      </c>
      <c r="S378">
        <f t="shared" si="275"/>
        <v>4</v>
      </c>
      <c r="T378" t="str">
        <f>IF(V378="","",IFERROR(VLOOKUP(TRIM($V378),KEY!$B$2:$F$72,2,FALSE),""))</f>
        <v>BMW</v>
      </c>
      <c r="V378" s="78" t="s">
        <v>185</v>
      </c>
      <c r="W378" s="78">
        <v>28</v>
      </c>
      <c r="X378" s="78">
        <v>0</v>
      </c>
      <c r="Y378" s="78">
        <v>0</v>
      </c>
      <c r="Z378" s="78">
        <v>0</v>
      </c>
      <c r="AA378" s="78">
        <v>0</v>
      </c>
      <c r="AB378" s="78">
        <v>0</v>
      </c>
      <c r="AC378" s="78">
        <v>0</v>
      </c>
      <c r="AD378" s="78">
        <v>0</v>
      </c>
      <c r="AE378" s="78">
        <v>0</v>
      </c>
      <c r="AF378" s="78">
        <v>0</v>
      </c>
      <c r="AG378" s="78">
        <v>0</v>
      </c>
      <c r="AH378" s="78">
        <v>28</v>
      </c>
      <c r="AI378" s="78">
        <v>100</v>
      </c>
      <c r="AJ378" s="78">
        <v>0</v>
      </c>
      <c r="AK378" s="78">
        <v>0</v>
      </c>
      <c r="AL378" s="78">
        <v>0</v>
      </c>
      <c r="AM378" s="78">
        <v>0</v>
      </c>
    </row>
    <row r="379" spans="2:39" x14ac:dyDescent="0.35">
      <c r="B379" t="str">
        <f t="shared" si="253"/>
        <v>Southern California-4</v>
      </c>
      <c r="C379" t="str">
        <f t="shared" si="254"/>
        <v>Dec 2025-Southern California-4</v>
      </c>
      <c r="D379">
        <f t="shared" si="269"/>
        <v>4</v>
      </c>
      <c r="E379">
        <f t="shared" si="255"/>
        <v>3.02</v>
      </c>
      <c r="F379">
        <f t="shared" si="270"/>
        <v>2</v>
      </c>
      <c r="G379">
        <f t="shared" si="271"/>
        <v>3</v>
      </c>
      <c r="H379" t="str">
        <f>IF(V379="","",IFERROR(VLOOKUP(TRIM($V379),KEY!$B$2:$F$72,3,FALSE),""))</f>
        <v>Southern California</v>
      </c>
      <c r="I379" t="str">
        <f t="shared" si="256"/>
        <v>WEST-19</v>
      </c>
      <c r="J379" t="str">
        <f t="shared" si="257"/>
        <v>Apr 2026-WEST-19</v>
      </c>
      <c r="K379">
        <f t="shared" si="272"/>
        <v>19</v>
      </c>
      <c r="L379">
        <f t="shared" si="258"/>
        <v>18.04</v>
      </c>
      <c r="M379">
        <f>IF(V379="","",IFERROR(VLOOKUP(TRIM($V379),KEY!$B$2:$F$72,5,FALSE),""))</f>
        <v>4</v>
      </c>
      <c r="N379">
        <f t="shared" si="273"/>
        <v>18</v>
      </c>
      <c r="O379" t="str">
        <f t="shared" si="259"/>
        <v>Audi-4</v>
      </c>
      <c r="P379">
        <f t="shared" si="260"/>
        <v>4</v>
      </c>
      <c r="Q379">
        <f t="shared" si="261"/>
        <v>4.0199999999999996</v>
      </c>
      <c r="R379">
        <f t="shared" si="274"/>
        <v>2</v>
      </c>
      <c r="S379">
        <f t="shared" si="275"/>
        <v>4</v>
      </c>
      <c r="T379" t="str">
        <f>IF(V379="","",IFERROR(VLOOKUP(TRIM($V379),KEY!$B$2:$F$72,2,FALSE),""))</f>
        <v>Audi</v>
      </c>
      <c r="V379" s="78" t="s">
        <v>188</v>
      </c>
      <c r="W379" s="78">
        <v>26</v>
      </c>
      <c r="X379" s="78">
        <v>0</v>
      </c>
      <c r="Y379" s="78">
        <v>0</v>
      </c>
      <c r="Z379" s="78">
        <v>0</v>
      </c>
      <c r="AA379" s="78">
        <v>0</v>
      </c>
      <c r="AB379" s="78">
        <v>0</v>
      </c>
      <c r="AC379" s="78">
        <v>1</v>
      </c>
      <c r="AD379" s="78">
        <v>1</v>
      </c>
      <c r="AE379" s="78">
        <v>4</v>
      </c>
      <c r="AF379" s="78">
        <v>0</v>
      </c>
      <c r="AG379" s="78">
        <v>0</v>
      </c>
      <c r="AH379" s="78">
        <v>25</v>
      </c>
      <c r="AI379" s="78">
        <v>96</v>
      </c>
      <c r="AJ379" s="78">
        <v>0</v>
      </c>
      <c r="AK379" s="78">
        <v>0</v>
      </c>
      <c r="AL379" s="78">
        <v>0</v>
      </c>
      <c r="AM379" s="78">
        <v>0</v>
      </c>
    </row>
    <row r="380" spans="2:39" x14ac:dyDescent="0.35">
      <c r="B380" t="str">
        <f t="shared" si="253"/>
        <v>Southern California-10</v>
      </c>
      <c r="C380" t="str">
        <f t="shared" si="254"/>
        <v>Dec 2025-Southern California-10</v>
      </c>
      <c r="D380">
        <f t="shared" si="269"/>
        <v>10</v>
      </c>
      <c r="E380">
        <f t="shared" si="255"/>
        <v>3.1</v>
      </c>
      <c r="F380">
        <f t="shared" si="270"/>
        <v>10</v>
      </c>
      <c r="G380">
        <f t="shared" si="271"/>
        <v>3</v>
      </c>
      <c r="H380" t="str">
        <f>IF(V380="","",IFERROR(VLOOKUP(TRIM($V380),KEY!$B$2:$F$72,3,FALSE),""))</f>
        <v>Southern California</v>
      </c>
      <c r="I380" t="str">
        <f t="shared" si="256"/>
        <v>WEST-43</v>
      </c>
      <c r="J380" t="str">
        <f t="shared" si="257"/>
        <v>Apr 2026-WEST-43</v>
      </c>
      <c r="K380">
        <f t="shared" si="272"/>
        <v>43</v>
      </c>
      <c r="L380">
        <f t="shared" si="258"/>
        <v>18.43</v>
      </c>
      <c r="M380">
        <f>IF(V380="","",IFERROR(VLOOKUP(TRIM($V380),KEY!$B$2:$F$72,5,FALSE),""))</f>
        <v>43</v>
      </c>
      <c r="N380">
        <f t="shared" si="273"/>
        <v>18</v>
      </c>
      <c r="O380" t="str">
        <f t="shared" si="259"/>
        <v>MINI-2</v>
      </c>
      <c r="P380">
        <f t="shared" si="260"/>
        <v>2</v>
      </c>
      <c r="Q380">
        <f t="shared" si="261"/>
        <v>1.05</v>
      </c>
      <c r="R380">
        <f t="shared" si="274"/>
        <v>5</v>
      </c>
      <c r="S380">
        <f t="shared" si="275"/>
        <v>1</v>
      </c>
      <c r="T380" t="str">
        <f>IF(V380="","",IFERROR(VLOOKUP(TRIM($V380),KEY!$B$2:$F$72,2,FALSE),""))</f>
        <v>MINI</v>
      </c>
      <c r="V380" s="78" t="s">
        <v>189</v>
      </c>
      <c r="W380" s="78">
        <v>5</v>
      </c>
      <c r="X380" s="78">
        <v>0</v>
      </c>
      <c r="Y380" s="78">
        <v>0</v>
      </c>
      <c r="Z380" s="78">
        <v>0</v>
      </c>
      <c r="AA380" s="78">
        <v>0</v>
      </c>
      <c r="AB380" s="78">
        <v>0</v>
      </c>
      <c r="AC380" s="78">
        <v>1</v>
      </c>
      <c r="AD380" s="78">
        <v>1</v>
      </c>
      <c r="AE380" s="78">
        <v>20</v>
      </c>
      <c r="AF380" s="78">
        <v>4</v>
      </c>
      <c r="AG380" s="78">
        <v>0</v>
      </c>
      <c r="AH380" s="78">
        <v>0</v>
      </c>
      <c r="AI380" s="78">
        <v>80</v>
      </c>
      <c r="AJ380" s="78">
        <v>0</v>
      </c>
      <c r="AK380" s="78">
        <v>0</v>
      </c>
      <c r="AL380" s="78">
        <v>0</v>
      </c>
      <c r="AM380" s="78">
        <v>0</v>
      </c>
    </row>
    <row r="381" spans="2:39" x14ac:dyDescent="0.35">
      <c r="B381" t="str">
        <f t="shared" si="253"/>
        <v>Texas-2</v>
      </c>
      <c r="C381" t="str">
        <f t="shared" si="254"/>
        <v>Dec 2025-Texas-2</v>
      </c>
      <c r="D381">
        <f t="shared" si="269"/>
        <v>2</v>
      </c>
      <c r="E381">
        <f t="shared" si="255"/>
        <v>2.0299999999999998</v>
      </c>
      <c r="F381">
        <f t="shared" si="270"/>
        <v>3</v>
      </c>
      <c r="G381">
        <f t="shared" si="271"/>
        <v>2</v>
      </c>
      <c r="H381" t="str">
        <f>IF(V381="","",IFERROR(VLOOKUP(TRIM($V381),KEY!$B$2:$F$72,3,FALSE),""))</f>
        <v>Texas</v>
      </c>
      <c r="I381" t="str">
        <f t="shared" si="256"/>
        <v>WEST-8</v>
      </c>
      <c r="J381" t="str">
        <f t="shared" si="257"/>
        <v>Apr 2026-WEST-8</v>
      </c>
      <c r="K381">
        <f t="shared" si="272"/>
        <v>8</v>
      </c>
      <c r="L381">
        <f t="shared" si="258"/>
        <v>8.23</v>
      </c>
      <c r="M381">
        <f>IF(V381="","",IFERROR(VLOOKUP(TRIM($V381),KEY!$B$2:$F$72,5,FALSE),""))</f>
        <v>23</v>
      </c>
      <c r="N381">
        <f t="shared" si="273"/>
        <v>8</v>
      </c>
      <c r="O381" t="str">
        <f t="shared" si="259"/>
        <v>Honda-1</v>
      </c>
      <c r="P381">
        <f t="shared" si="260"/>
        <v>1</v>
      </c>
      <c r="Q381">
        <f t="shared" si="261"/>
        <v>1.02</v>
      </c>
      <c r="R381">
        <f t="shared" si="274"/>
        <v>2</v>
      </c>
      <c r="S381">
        <f t="shared" si="275"/>
        <v>1</v>
      </c>
      <c r="T381" t="str">
        <f>IF(V381="","",IFERROR(VLOOKUP(TRIM($V381),KEY!$B$2:$F$72,2,FALSE),""))</f>
        <v>Honda</v>
      </c>
      <c r="V381" s="78" t="s">
        <v>191</v>
      </c>
      <c r="W381" s="78">
        <v>18</v>
      </c>
      <c r="X381" s="78">
        <v>2</v>
      </c>
      <c r="Y381" s="78">
        <v>11</v>
      </c>
      <c r="Z381" s="78">
        <v>0</v>
      </c>
      <c r="AA381" s="78">
        <v>2</v>
      </c>
      <c r="AB381" s="78">
        <v>0</v>
      </c>
      <c r="AC381" s="78">
        <v>1</v>
      </c>
      <c r="AD381" s="78">
        <v>3</v>
      </c>
      <c r="AE381" s="78">
        <v>17</v>
      </c>
      <c r="AF381" s="78">
        <v>0</v>
      </c>
      <c r="AG381" s="78">
        <v>0</v>
      </c>
      <c r="AH381" s="78">
        <v>15</v>
      </c>
      <c r="AI381" s="78">
        <v>83</v>
      </c>
      <c r="AJ381" s="78">
        <v>0</v>
      </c>
      <c r="AK381" s="78">
        <v>0</v>
      </c>
      <c r="AL381" s="78">
        <v>0</v>
      </c>
      <c r="AM381" s="78">
        <v>0</v>
      </c>
    </row>
    <row r="382" spans="2:39" x14ac:dyDescent="0.35">
      <c r="B382" t="str">
        <f t="shared" si="253"/>
        <v>Texas-8</v>
      </c>
      <c r="C382" t="str">
        <f t="shared" si="254"/>
        <v>Dec 2025-Texas-8</v>
      </c>
      <c r="D382">
        <f t="shared" si="269"/>
        <v>8</v>
      </c>
      <c r="E382">
        <f t="shared" si="255"/>
        <v>4.07</v>
      </c>
      <c r="F382">
        <f t="shared" si="270"/>
        <v>7</v>
      </c>
      <c r="G382">
        <f t="shared" si="271"/>
        <v>4</v>
      </c>
      <c r="H382" t="str">
        <f>IF(V382="","",IFERROR(VLOOKUP(TRIM($V382),KEY!$B$2:$F$72,3,FALSE),""))</f>
        <v>Texas</v>
      </c>
      <c r="I382" t="str">
        <f t="shared" si="256"/>
        <v>WEST-49</v>
      </c>
      <c r="J382" t="str">
        <f t="shared" si="257"/>
        <v>Apr 2026-WEST-49</v>
      </c>
      <c r="K382">
        <f t="shared" si="272"/>
        <v>49</v>
      </c>
      <c r="L382">
        <f t="shared" si="258"/>
        <v>18.52</v>
      </c>
      <c r="M382">
        <f>IF(V382="","",IFERROR(VLOOKUP(TRIM($V382),KEY!$B$2:$F$72,5,FALSE),""))</f>
        <v>52</v>
      </c>
      <c r="N382">
        <f t="shared" si="273"/>
        <v>18</v>
      </c>
      <c r="O382" t="str">
        <f t="shared" si="259"/>
        <v>Honda-3</v>
      </c>
      <c r="P382">
        <f t="shared" si="260"/>
        <v>3</v>
      </c>
      <c r="Q382">
        <f t="shared" si="261"/>
        <v>2.06</v>
      </c>
      <c r="R382">
        <f t="shared" si="274"/>
        <v>6</v>
      </c>
      <c r="S382">
        <f t="shared" si="275"/>
        <v>2</v>
      </c>
      <c r="T382" t="str">
        <f>IF(V382="","",IFERROR(VLOOKUP(TRIM($V382),KEY!$B$2:$F$72,2,FALSE),""))</f>
        <v>Honda</v>
      </c>
      <c r="V382" s="78" t="s">
        <v>190</v>
      </c>
      <c r="W382" s="78">
        <v>16</v>
      </c>
      <c r="X382" s="78">
        <v>0</v>
      </c>
      <c r="Y382" s="78">
        <v>0</v>
      </c>
      <c r="Z382" s="78">
        <v>0</v>
      </c>
      <c r="AA382" s="78">
        <v>0</v>
      </c>
      <c r="AB382" s="78">
        <v>0</v>
      </c>
      <c r="AC382" s="78">
        <v>0</v>
      </c>
      <c r="AD382" s="78">
        <v>0</v>
      </c>
      <c r="AE382" s="78">
        <v>0</v>
      </c>
      <c r="AF382" s="78">
        <v>0</v>
      </c>
      <c r="AG382" s="78">
        <v>0</v>
      </c>
      <c r="AH382" s="78">
        <v>16</v>
      </c>
      <c r="AI382" s="78">
        <v>100</v>
      </c>
      <c r="AJ382" s="78">
        <v>0</v>
      </c>
      <c r="AK382" s="78">
        <v>0</v>
      </c>
      <c r="AL382" s="78">
        <v>0</v>
      </c>
      <c r="AM382" s="78">
        <v>0</v>
      </c>
    </row>
    <row r="383" spans="2:39" x14ac:dyDescent="0.35">
      <c r="B383" t="str">
        <f t="shared" si="253"/>
        <v>Texas-5</v>
      </c>
      <c r="C383" t="str">
        <f t="shared" si="254"/>
        <v>Dec 2025-Texas-5</v>
      </c>
      <c r="D383">
        <f t="shared" si="269"/>
        <v>5</v>
      </c>
      <c r="E383">
        <f t="shared" si="255"/>
        <v>4.04</v>
      </c>
      <c r="F383">
        <f t="shared" si="270"/>
        <v>4</v>
      </c>
      <c r="G383">
        <f t="shared" si="271"/>
        <v>4</v>
      </c>
      <c r="H383" t="str">
        <f>IF(V383="","",IFERROR(VLOOKUP(TRIM($V383),KEY!$B$2:$F$72,3,FALSE),""))</f>
        <v>Texas</v>
      </c>
      <c r="I383" t="str">
        <f t="shared" si="256"/>
        <v>WEST-34</v>
      </c>
      <c r="J383" t="str">
        <f t="shared" si="257"/>
        <v>Apr 2026-WEST-34</v>
      </c>
      <c r="K383">
        <f t="shared" si="272"/>
        <v>34</v>
      </c>
      <c r="L383">
        <f t="shared" si="258"/>
        <v>18.3</v>
      </c>
      <c r="M383">
        <f>IF(V383="","",IFERROR(VLOOKUP(TRIM($V383),KEY!$B$2:$F$72,5,FALSE),""))</f>
        <v>30</v>
      </c>
      <c r="N383">
        <f t="shared" si="273"/>
        <v>18</v>
      </c>
      <c r="O383" t="str">
        <f t="shared" si="259"/>
        <v>Lexus-1</v>
      </c>
      <c r="P383">
        <f t="shared" si="260"/>
        <v>1</v>
      </c>
      <c r="Q383">
        <f t="shared" si="261"/>
        <v>1.01</v>
      </c>
      <c r="R383">
        <f t="shared" si="274"/>
        <v>1</v>
      </c>
      <c r="S383">
        <f t="shared" si="275"/>
        <v>1</v>
      </c>
      <c r="T383" t="str">
        <f>IF(V383="","",IFERROR(VLOOKUP(TRIM($V383),KEY!$B$2:$F$72,2,FALSE),""))</f>
        <v>Lexus</v>
      </c>
      <c r="V383" s="78" t="s">
        <v>192</v>
      </c>
      <c r="W383" s="78">
        <v>24</v>
      </c>
      <c r="X383" s="78">
        <v>0</v>
      </c>
      <c r="Y383" s="78">
        <v>0</v>
      </c>
      <c r="Z383" s="78">
        <v>0</v>
      </c>
      <c r="AA383" s="78">
        <v>0</v>
      </c>
      <c r="AB383" s="78">
        <v>0</v>
      </c>
      <c r="AC383" s="78">
        <v>0</v>
      </c>
      <c r="AD383" s="78">
        <v>0</v>
      </c>
      <c r="AE383" s="78">
        <v>0</v>
      </c>
      <c r="AF383" s="78">
        <v>0</v>
      </c>
      <c r="AG383" s="78">
        <v>0</v>
      </c>
      <c r="AH383" s="78">
        <v>24</v>
      </c>
      <c r="AI383" s="78">
        <v>100</v>
      </c>
      <c r="AJ383" s="78">
        <v>0</v>
      </c>
      <c r="AK383" s="78">
        <v>0</v>
      </c>
      <c r="AL383" s="78">
        <v>0</v>
      </c>
      <c r="AM383" s="78">
        <v>0</v>
      </c>
    </row>
    <row r="384" spans="2:39" x14ac:dyDescent="0.35">
      <c r="B384" t="str">
        <f t="shared" si="253"/>
        <v>Texas-6</v>
      </c>
      <c r="C384" t="str">
        <f t="shared" si="254"/>
        <v>Dec 2025-Texas-6</v>
      </c>
      <c r="D384">
        <f t="shared" si="269"/>
        <v>6</v>
      </c>
      <c r="E384">
        <f t="shared" si="255"/>
        <v>4.05</v>
      </c>
      <c r="F384">
        <f t="shared" si="270"/>
        <v>5</v>
      </c>
      <c r="G384">
        <f t="shared" si="271"/>
        <v>4</v>
      </c>
      <c r="H384" t="str">
        <f>IF(V384="","",IFERROR(VLOOKUP(TRIM($V384),KEY!$B$2:$F$72,3,FALSE),""))</f>
        <v>Texas</v>
      </c>
      <c r="I384" t="str">
        <f t="shared" si="256"/>
        <v>WEST-36</v>
      </c>
      <c r="J384" t="str">
        <f t="shared" si="257"/>
        <v>Apr 2026-WEST-36</v>
      </c>
      <c r="K384">
        <f t="shared" si="272"/>
        <v>36</v>
      </c>
      <c r="L384">
        <f t="shared" si="258"/>
        <v>18.32</v>
      </c>
      <c r="M384">
        <f>IF(V384="","",IFERROR(VLOOKUP(TRIM($V384),KEY!$B$2:$F$72,5,FALSE),""))</f>
        <v>32</v>
      </c>
      <c r="N384">
        <f t="shared" si="273"/>
        <v>18</v>
      </c>
      <c r="O384" t="str">
        <f t="shared" si="259"/>
        <v>Lexus-1</v>
      </c>
      <c r="P384">
        <f t="shared" si="260"/>
        <v>1</v>
      </c>
      <c r="Q384">
        <f t="shared" si="261"/>
        <v>1.03</v>
      </c>
      <c r="R384">
        <f t="shared" si="274"/>
        <v>3</v>
      </c>
      <c r="S384">
        <f t="shared" si="275"/>
        <v>1</v>
      </c>
      <c r="T384" t="str">
        <f>IF(V384="","",IFERROR(VLOOKUP(TRIM($V384),KEY!$B$2:$F$72,2,FALSE),""))</f>
        <v>Lexus</v>
      </c>
      <c r="V384" s="78" t="s">
        <v>193</v>
      </c>
      <c r="W384" s="78">
        <v>9</v>
      </c>
      <c r="X384" s="78">
        <v>0</v>
      </c>
      <c r="Y384" s="78">
        <v>0</v>
      </c>
      <c r="Z384" s="78">
        <v>0</v>
      </c>
      <c r="AA384" s="78">
        <v>0</v>
      </c>
      <c r="AB384" s="78">
        <v>0</v>
      </c>
      <c r="AC384" s="78">
        <v>0</v>
      </c>
      <c r="AD384" s="78">
        <v>0</v>
      </c>
      <c r="AE384" s="78">
        <v>0</v>
      </c>
      <c r="AF384" s="78">
        <v>9</v>
      </c>
      <c r="AG384" s="78">
        <v>0</v>
      </c>
      <c r="AH384" s="78">
        <v>0</v>
      </c>
      <c r="AI384" s="78">
        <v>100</v>
      </c>
      <c r="AJ384" s="78">
        <v>0</v>
      </c>
      <c r="AK384" s="78">
        <v>0</v>
      </c>
      <c r="AL384" s="78">
        <v>0</v>
      </c>
      <c r="AM384" s="78">
        <v>0</v>
      </c>
    </row>
    <row r="385" spans="2:39" x14ac:dyDescent="0.35">
      <c r="B385" t="str">
        <f t="shared" si="253"/>
        <v>Texas-1</v>
      </c>
      <c r="C385" t="str">
        <f t="shared" si="254"/>
        <v>Dec 2025-Texas-1</v>
      </c>
      <c r="D385">
        <f t="shared" si="269"/>
        <v>1</v>
      </c>
      <c r="E385">
        <f t="shared" si="255"/>
        <v>1.01</v>
      </c>
      <c r="F385">
        <f t="shared" si="270"/>
        <v>1</v>
      </c>
      <c r="G385">
        <f t="shared" si="271"/>
        <v>1</v>
      </c>
      <c r="H385" t="str">
        <f>IF(V385="","",IFERROR(VLOOKUP(TRIM($V385),KEY!$B$2:$F$72,3,FALSE),""))</f>
        <v>Texas</v>
      </c>
      <c r="I385" t="str">
        <f t="shared" si="256"/>
        <v>WEST-7</v>
      </c>
      <c r="J385" t="str">
        <f t="shared" si="257"/>
        <v>Apr 2026-WEST-7</v>
      </c>
      <c r="K385">
        <f t="shared" si="272"/>
        <v>7</v>
      </c>
      <c r="L385">
        <f t="shared" si="258"/>
        <v>7.12</v>
      </c>
      <c r="M385">
        <f>IF(V385="","",IFERROR(VLOOKUP(TRIM($V385),KEY!$B$2:$F$72,5,FALSE),""))</f>
        <v>12</v>
      </c>
      <c r="N385">
        <f t="shared" si="273"/>
        <v>7</v>
      </c>
      <c r="O385" t="str">
        <f t="shared" si="259"/>
        <v>BMW-2</v>
      </c>
      <c r="P385">
        <f t="shared" si="260"/>
        <v>2</v>
      </c>
      <c r="Q385">
        <f t="shared" si="261"/>
        <v>2.02</v>
      </c>
      <c r="R385">
        <f t="shared" si="274"/>
        <v>2</v>
      </c>
      <c r="S385">
        <f t="shared" si="275"/>
        <v>2</v>
      </c>
      <c r="T385" t="str">
        <f>IF(V385="","",IFERROR(VLOOKUP(TRIM($V385),KEY!$B$2:$F$72,2,FALSE),""))</f>
        <v>BMW</v>
      </c>
      <c r="V385" s="78" t="s">
        <v>194</v>
      </c>
      <c r="W385" s="78">
        <v>26</v>
      </c>
      <c r="X385" s="78">
        <v>3</v>
      </c>
      <c r="Y385" s="78">
        <v>12</v>
      </c>
      <c r="Z385" s="78">
        <v>0</v>
      </c>
      <c r="AA385" s="78">
        <v>3</v>
      </c>
      <c r="AB385" s="78">
        <v>0</v>
      </c>
      <c r="AC385" s="78">
        <v>0</v>
      </c>
      <c r="AD385" s="78">
        <v>3</v>
      </c>
      <c r="AE385" s="78">
        <v>12</v>
      </c>
      <c r="AF385" s="78">
        <v>1</v>
      </c>
      <c r="AG385" s="78">
        <v>0</v>
      </c>
      <c r="AH385" s="78">
        <v>22</v>
      </c>
      <c r="AI385" s="78">
        <v>88</v>
      </c>
      <c r="AJ385" s="78">
        <v>0</v>
      </c>
      <c r="AK385" s="78">
        <v>0</v>
      </c>
      <c r="AL385" s="78">
        <v>0</v>
      </c>
      <c r="AM385" s="78">
        <v>0</v>
      </c>
    </row>
    <row r="386" spans="2:39" x14ac:dyDescent="0.35">
      <c r="B386" t="str">
        <f t="shared" si="253"/>
        <v>Texas-9</v>
      </c>
      <c r="C386" t="str">
        <f t="shared" si="254"/>
        <v>Dec 2025-Texas-9</v>
      </c>
      <c r="D386">
        <f t="shared" si="269"/>
        <v>9</v>
      </c>
      <c r="E386">
        <f t="shared" si="255"/>
        <v>4.09</v>
      </c>
      <c r="F386">
        <f t="shared" si="270"/>
        <v>9</v>
      </c>
      <c r="G386">
        <f t="shared" si="271"/>
        <v>4</v>
      </c>
      <c r="H386" t="str">
        <f>IF(V386="","",IFERROR(VLOOKUP(TRIM($V386),KEY!$B$2:$F$72,3,FALSE),""))</f>
        <v>Texas</v>
      </c>
      <c r="I386" t="str">
        <f t="shared" si="256"/>
        <v>WEST-50</v>
      </c>
      <c r="J386" t="str">
        <f t="shared" si="257"/>
        <v>Apr 2026-WEST-50</v>
      </c>
      <c r="K386">
        <f t="shared" si="272"/>
        <v>50</v>
      </c>
      <c r="L386">
        <f t="shared" si="258"/>
        <v>18.54</v>
      </c>
      <c r="M386">
        <f>IF(V386="","",IFERROR(VLOOKUP(TRIM($V386),KEY!$B$2:$F$72,5,FALSE),""))</f>
        <v>54</v>
      </c>
      <c r="N386">
        <f t="shared" si="273"/>
        <v>18</v>
      </c>
      <c r="O386" t="str">
        <f t="shared" si="259"/>
        <v>Toyota-4</v>
      </c>
      <c r="P386">
        <f t="shared" si="260"/>
        <v>4</v>
      </c>
      <c r="Q386">
        <f t="shared" si="261"/>
        <v>3.03</v>
      </c>
      <c r="R386">
        <f t="shared" si="274"/>
        <v>3</v>
      </c>
      <c r="S386">
        <f t="shared" si="275"/>
        <v>3</v>
      </c>
      <c r="T386" t="str">
        <f>IF(V386="","",IFERROR(VLOOKUP(TRIM($V386),KEY!$B$2:$F$72,2,FALSE),""))</f>
        <v>Toyota</v>
      </c>
      <c r="V386" s="78" t="s">
        <v>195</v>
      </c>
      <c r="W386" s="78">
        <v>8</v>
      </c>
      <c r="X386" s="78">
        <v>0</v>
      </c>
      <c r="Y386" s="78">
        <v>0</v>
      </c>
      <c r="Z386" s="78">
        <v>0</v>
      </c>
      <c r="AA386" s="78">
        <v>0</v>
      </c>
      <c r="AB386" s="78">
        <v>0</v>
      </c>
      <c r="AC386" s="78">
        <v>0</v>
      </c>
      <c r="AD386" s="78">
        <v>0</v>
      </c>
      <c r="AE386" s="78">
        <v>0</v>
      </c>
      <c r="AF386" s="78">
        <v>0</v>
      </c>
      <c r="AG386" s="78">
        <v>0</v>
      </c>
      <c r="AH386" s="78">
        <v>8</v>
      </c>
      <c r="AI386" s="78">
        <v>100</v>
      </c>
      <c r="AJ386" s="78">
        <v>0</v>
      </c>
      <c r="AK386" s="78">
        <v>0</v>
      </c>
      <c r="AL386" s="78">
        <v>0</v>
      </c>
      <c r="AM386" s="78">
        <v>0</v>
      </c>
    </row>
    <row r="387" spans="2:39" x14ac:dyDescent="0.35">
      <c r="B387" t="str">
        <f t="shared" si="253"/>
        <v>Texas-3</v>
      </c>
      <c r="C387" t="str">
        <f t="shared" si="254"/>
        <v>Dec 2025-Texas-3</v>
      </c>
      <c r="D387">
        <f t="shared" si="269"/>
        <v>3</v>
      </c>
      <c r="E387">
        <f t="shared" si="255"/>
        <v>3.08</v>
      </c>
      <c r="F387">
        <f t="shared" si="270"/>
        <v>8</v>
      </c>
      <c r="G387">
        <f t="shared" si="271"/>
        <v>3</v>
      </c>
      <c r="H387" t="str">
        <f>IF(V387="","",IFERROR(VLOOKUP(TRIM($V387),KEY!$B$2:$F$72,3,FALSE),""))</f>
        <v>Texas</v>
      </c>
      <c r="I387" t="str">
        <f t="shared" si="256"/>
        <v>WEST-13</v>
      </c>
      <c r="J387" t="str">
        <f t="shared" si="257"/>
        <v>Apr 2026-WEST-13</v>
      </c>
      <c r="K387">
        <f t="shared" si="272"/>
        <v>13</v>
      </c>
      <c r="L387">
        <f t="shared" si="258"/>
        <v>13.53</v>
      </c>
      <c r="M387">
        <f>IF(V387="","",IFERROR(VLOOKUP(TRIM($V387),KEY!$B$2:$F$72,5,FALSE),""))</f>
        <v>53</v>
      </c>
      <c r="N387">
        <f t="shared" si="273"/>
        <v>13</v>
      </c>
      <c r="O387" t="str">
        <f t="shared" si="259"/>
        <v>Hyundai-1</v>
      </c>
      <c r="P387">
        <f t="shared" si="260"/>
        <v>1</v>
      </c>
      <c r="Q387">
        <f t="shared" si="261"/>
        <v>1.01</v>
      </c>
      <c r="R387">
        <f t="shared" si="274"/>
        <v>1</v>
      </c>
      <c r="S387">
        <f t="shared" si="275"/>
        <v>1</v>
      </c>
      <c r="T387" t="str">
        <f>IF(V387="","",IFERROR(VLOOKUP(TRIM($V387),KEY!$B$2:$F$72,2,FALSE),""))</f>
        <v>Hyundai</v>
      </c>
      <c r="V387" s="78" t="s">
        <v>196</v>
      </c>
      <c r="W387" s="78">
        <v>20</v>
      </c>
      <c r="X387" s="78">
        <v>1</v>
      </c>
      <c r="Y387" s="78">
        <v>5</v>
      </c>
      <c r="Z387" s="78">
        <v>0</v>
      </c>
      <c r="AA387" s="78">
        <v>1</v>
      </c>
      <c r="AB387" s="78">
        <v>0</v>
      </c>
      <c r="AC387" s="78">
        <v>0</v>
      </c>
      <c r="AD387" s="78">
        <v>1</v>
      </c>
      <c r="AE387" s="78">
        <v>5</v>
      </c>
      <c r="AF387" s="78">
        <v>19</v>
      </c>
      <c r="AG387" s="78">
        <v>0</v>
      </c>
      <c r="AH387" s="78">
        <v>0</v>
      </c>
      <c r="AI387" s="78">
        <v>95</v>
      </c>
      <c r="AJ387" s="78">
        <v>0</v>
      </c>
      <c r="AK387" s="78">
        <v>0</v>
      </c>
      <c r="AL387" s="78">
        <v>0</v>
      </c>
      <c r="AM387" s="78">
        <v>0</v>
      </c>
    </row>
    <row r="388" spans="2:39" x14ac:dyDescent="0.35">
      <c r="B388" t="str">
        <f t="shared" si="253"/>
        <v>Texas-4</v>
      </c>
      <c r="C388" t="str">
        <f t="shared" si="254"/>
        <v>Dec 2025-Texas-4</v>
      </c>
      <c r="D388">
        <f t="shared" si="269"/>
        <v>4</v>
      </c>
      <c r="E388">
        <f t="shared" si="255"/>
        <v>4.0199999999999996</v>
      </c>
      <c r="F388">
        <f t="shared" si="270"/>
        <v>2</v>
      </c>
      <c r="G388">
        <f t="shared" si="271"/>
        <v>4</v>
      </c>
      <c r="H388" t="str">
        <f>IF(V388="","",IFERROR(VLOOKUP(TRIM($V388),KEY!$B$2:$F$72,3,FALSE),""))</f>
        <v>Texas</v>
      </c>
      <c r="I388" t="str">
        <f t="shared" si="256"/>
        <v>WEST-30</v>
      </c>
      <c r="J388" t="str">
        <f t="shared" si="257"/>
        <v>Apr 2026-WEST-30</v>
      </c>
      <c r="K388">
        <f t="shared" si="272"/>
        <v>30</v>
      </c>
      <c r="L388">
        <f t="shared" si="258"/>
        <v>18.22</v>
      </c>
      <c r="M388">
        <f>IF(V388="","",IFERROR(VLOOKUP(TRIM($V388),KEY!$B$2:$F$72,5,FALSE),""))</f>
        <v>22</v>
      </c>
      <c r="N388">
        <f t="shared" si="273"/>
        <v>18</v>
      </c>
      <c r="O388" t="str">
        <f t="shared" si="259"/>
        <v>Genesis-1</v>
      </c>
      <c r="P388">
        <f t="shared" si="260"/>
        <v>1</v>
      </c>
      <c r="Q388">
        <f t="shared" si="261"/>
        <v>1.01</v>
      </c>
      <c r="R388">
        <f t="shared" si="274"/>
        <v>1</v>
      </c>
      <c r="S388">
        <f t="shared" si="275"/>
        <v>1</v>
      </c>
      <c r="T388" t="str">
        <f>IF(V388="","",IFERROR(VLOOKUP(TRIM($V388),KEY!$B$2:$F$72,2,FALSE),""))</f>
        <v>Genesis</v>
      </c>
      <c r="V388" s="78" t="s">
        <v>213</v>
      </c>
      <c r="W388" s="78">
        <v>3</v>
      </c>
      <c r="X388" s="78">
        <v>0</v>
      </c>
      <c r="Y388" s="78">
        <v>0</v>
      </c>
      <c r="Z388" s="78">
        <v>0</v>
      </c>
      <c r="AA388" s="78">
        <v>0</v>
      </c>
      <c r="AB388" s="78">
        <v>0</v>
      </c>
      <c r="AC388" s="78">
        <v>0</v>
      </c>
      <c r="AD388" s="78">
        <v>0</v>
      </c>
      <c r="AE388" s="78">
        <v>0</v>
      </c>
      <c r="AF388" s="78">
        <v>0</v>
      </c>
      <c r="AG388" s="78">
        <v>0</v>
      </c>
      <c r="AH388" s="78">
        <v>3</v>
      </c>
      <c r="AI388" s="78">
        <v>100</v>
      </c>
      <c r="AJ388" s="78">
        <v>0</v>
      </c>
      <c r="AK388" s="78">
        <v>0</v>
      </c>
      <c r="AL388" s="78">
        <v>0</v>
      </c>
      <c r="AM388" s="78">
        <v>0</v>
      </c>
    </row>
    <row r="389" spans="2:39" x14ac:dyDescent="0.35">
      <c r="B389" t="str">
        <f t="shared" si="253"/>
        <v>Texas-7</v>
      </c>
      <c r="C389" t="str">
        <f t="shared" si="254"/>
        <v>Dec 2025-Texas-7</v>
      </c>
      <c r="D389">
        <f t="shared" si="269"/>
        <v>7</v>
      </c>
      <c r="E389">
        <f t="shared" si="255"/>
        <v>4.0599999999999996</v>
      </c>
      <c r="F389">
        <f t="shared" si="270"/>
        <v>6</v>
      </c>
      <c r="G389">
        <f t="shared" si="271"/>
        <v>4</v>
      </c>
      <c r="H389" t="str">
        <f>IF(V389="","",IFERROR(VLOOKUP(TRIM($V389),KEY!$B$2:$F$72,3,FALSE),""))</f>
        <v>Texas</v>
      </c>
      <c r="I389" t="str">
        <f t="shared" si="256"/>
        <v>WEST-41</v>
      </c>
      <c r="J389" t="str">
        <f t="shared" si="257"/>
        <v>Apr 2026-WEST-41</v>
      </c>
      <c r="K389">
        <f t="shared" si="272"/>
        <v>41</v>
      </c>
      <c r="L389">
        <f t="shared" si="258"/>
        <v>18.399999999999999</v>
      </c>
      <c r="M389">
        <f>IF(V389="","",IFERROR(VLOOKUP(TRIM($V389),KEY!$B$2:$F$72,5,FALSE),""))</f>
        <v>40</v>
      </c>
      <c r="N389">
        <f t="shared" si="273"/>
        <v>18</v>
      </c>
      <c r="O389" t="str">
        <f t="shared" si="259"/>
        <v>MINI-2</v>
      </c>
      <c r="P389">
        <f t="shared" si="260"/>
        <v>2</v>
      </c>
      <c r="Q389">
        <f t="shared" si="261"/>
        <v>1.03</v>
      </c>
      <c r="R389">
        <f t="shared" si="274"/>
        <v>3</v>
      </c>
      <c r="S389">
        <f t="shared" si="275"/>
        <v>1</v>
      </c>
      <c r="T389" t="str">
        <f>IF(V389="","",IFERROR(VLOOKUP(TRIM($V389),KEY!$B$2:$F$72,2,FALSE),""))</f>
        <v>MINI</v>
      </c>
      <c r="V389" s="78" t="s">
        <v>197</v>
      </c>
      <c r="W389" s="78">
        <v>3</v>
      </c>
      <c r="X389" s="78">
        <v>0</v>
      </c>
      <c r="Y389" s="78">
        <v>0</v>
      </c>
      <c r="Z389" s="78">
        <v>0</v>
      </c>
      <c r="AA389" s="78">
        <v>0</v>
      </c>
      <c r="AB389" s="78">
        <v>0</v>
      </c>
      <c r="AC389" s="78">
        <v>0</v>
      </c>
      <c r="AD389" s="78">
        <v>0</v>
      </c>
      <c r="AE389" s="78">
        <v>0</v>
      </c>
      <c r="AF389" s="78">
        <v>0</v>
      </c>
      <c r="AG389" s="78">
        <v>0</v>
      </c>
      <c r="AH389" s="78">
        <v>3</v>
      </c>
      <c r="AI389" s="78">
        <v>100</v>
      </c>
      <c r="AJ389" s="78">
        <v>0</v>
      </c>
      <c r="AK389" s="78">
        <v>0</v>
      </c>
      <c r="AL389" s="78">
        <v>0</v>
      </c>
      <c r="AM389" s="78">
        <v>0</v>
      </c>
    </row>
    <row r="390" spans="2:39" x14ac:dyDescent="0.35">
      <c r="B390" t="str">
        <f t="shared" si="253"/>
        <v>Wisconsin-1</v>
      </c>
      <c r="C390" t="str">
        <f t="shared" si="254"/>
        <v>Dec 2025-Wisconsin-1</v>
      </c>
      <c r="D390">
        <f t="shared" si="269"/>
        <v>1</v>
      </c>
      <c r="E390">
        <f t="shared" si="255"/>
        <v>1.01</v>
      </c>
      <c r="F390">
        <f t="shared" si="270"/>
        <v>1</v>
      </c>
      <c r="G390">
        <f t="shared" si="271"/>
        <v>1</v>
      </c>
      <c r="H390" t="str">
        <f>IF(V390="","",IFERROR(VLOOKUP(TRIM($V390),KEY!$B$2:$F$72,3,FALSE),""))</f>
        <v>Wisconsin</v>
      </c>
      <c r="I390" t="str">
        <f t="shared" si="256"/>
        <v>WEST-2</v>
      </c>
      <c r="J390" t="str">
        <f t="shared" si="257"/>
        <v>Apr 2026-WEST-2</v>
      </c>
      <c r="K390">
        <f t="shared" si="272"/>
        <v>2</v>
      </c>
      <c r="L390">
        <f t="shared" si="258"/>
        <v>2.21</v>
      </c>
      <c r="M390">
        <f>IF(V390="","",IFERROR(VLOOKUP(TRIM($V390),KEY!$B$2:$F$72,5,FALSE),""))</f>
        <v>21</v>
      </c>
      <c r="N390">
        <f t="shared" si="273"/>
        <v>2</v>
      </c>
      <c r="O390" t="str">
        <f t="shared" si="259"/>
        <v>Toyota-1</v>
      </c>
      <c r="P390">
        <f t="shared" si="260"/>
        <v>1</v>
      </c>
      <c r="Q390">
        <f t="shared" si="261"/>
        <v>1.01</v>
      </c>
      <c r="R390">
        <f t="shared" si="274"/>
        <v>1</v>
      </c>
      <c r="S390">
        <f t="shared" si="275"/>
        <v>1</v>
      </c>
      <c r="T390" t="str">
        <f>IF(V390="","",IFERROR(VLOOKUP(TRIM($V390),KEY!$B$2:$F$72,2,FALSE),""))</f>
        <v>Toyota</v>
      </c>
      <c r="V390" s="78" t="s">
        <v>198</v>
      </c>
      <c r="W390" s="78">
        <v>27</v>
      </c>
      <c r="X390" s="78">
        <v>6</v>
      </c>
      <c r="Y390" s="78">
        <v>22</v>
      </c>
      <c r="Z390" s="78">
        <v>0</v>
      </c>
      <c r="AA390" s="78">
        <v>6</v>
      </c>
      <c r="AB390" s="78">
        <v>0</v>
      </c>
      <c r="AC390" s="78">
        <v>1</v>
      </c>
      <c r="AD390" s="78">
        <v>7</v>
      </c>
      <c r="AE390" s="78">
        <v>26</v>
      </c>
      <c r="AF390" s="78">
        <v>19</v>
      </c>
      <c r="AG390" s="78">
        <v>0</v>
      </c>
      <c r="AH390" s="78">
        <v>0</v>
      </c>
      <c r="AI390" s="78">
        <v>70</v>
      </c>
      <c r="AJ390" s="78">
        <v>0</v>
      </c>
      <c r="AK390" s="78">
        <v>1</v>
      </c>
      <c r="AL390" s="78">
        <v>0</v>
      </c>
      <c r="AM390" s="78">
        <v>4</v>
      </c>
    </row>
    <row r="391" spans="2:39" x14ac:dyDescent="0.35">
      <c r="B391" t="str">
        <f t="shared" si="253"/>
        <v>Michigan &amp; Minnesota-2</v>
      </c>
      <c r="C391" t="str">
        <f t="shared" si="254"/>
        <v>Dec 2025-Michigan &amp; Minnesota-2</v>
      </c>
      <c r="D391">
        <f t="shared" si="269"/>
        <v>2</v>
      </c>
      <c r="E391">
        <f t="shared" si="255"/>
        <v>1.02</v>
      </c>
      <c r="F391">
        <f t="shared" si="270"/>
        <v>2</v>
      </c>
      <c r="G391">
        <f t="shared" si="271"/>
        <v>1</v>
      </c>
      <c r="H391" t="str">
        <f>IF(V391="","",IFERROR(VLOOKUP(TRIM($V391),KEY!$B$2:$F$72,3,FALSE),""))</f>
        <v>Michigan &amp; Minnesota</v>
      </c>
      <c r="I391" t="str">
        <f t="shared" si="256"/>
        <v>WEST-44</v>
      </c>
      <c r="J391" t="str">
        <f t="shared" si="257"/>
        <v>Apr 2026-WEST-44</v>
      </c>
      <c r="K391">
        <f t="shared" si="272"/>
        <v>44</v>
      </c>
      <c r="L391">
        <f t="shared" si="258"/>
        <v>18.45</v>
      </c>
      <c r="M391">
        <f>IF(V391="","",IFERROR(VLOOKUP(TRIM($V391),KEY!$B$2:$F$72,5,FALSE),""))</f>
        <v>45</v>
      </c>
      <c r="N391">
        <f t="shared" si="273"/>
        <v>18</v>
      </c>
      <c r="O391" t="str">
        <f t="shared" si="259"/>
        <v>BMW-5</v>
      </c>
      <c r="P391">
        <f t="shared" si="260"/>
        <v>5</v>
      </c>
      <c r="Q391">
        <f t="shared" si="261"/>
        <v>4.08</v>
      </c>
      <c r="R391">
        <f t="shared" si="274"/>
        <v>8</v>
      </c>
      <c r="S391">
        <f t="shared" si="275"/>
        <v>4</v>
      </c>
      <c r="T391" t="str">
        <f>IF(V391="","",IFERROR(VLOOKUP(TRIM($V391),KEY!$B$2:$F$72,2,FALSE),""))</f>
        <v>BMW</v>
      </c>
      <c r="V391" s="78" t="s">
        <v>199</v>
      </c>
      <c r="W391" s="78">
        <v>17</v>
      </c>
      <c r="X391" s="78">
        <v>0</v>
      </c>
      <c r="Y391" s="78">
        <v>0</v>
      </c>
      <c r="Z391" s="78">
        <v>0</v>
      </c>
      <c r="AA391" s="78">
        <v>0</v>
      </c>
      <c r="AB391" s="78">
        <v>0</v>
      </c>
      <c r="AC391" s="78">
        <v>0</v>
      </c>
      <c r="AD391" s="78">
        <v>0</v>
      </c>
      <c r="AE391" s="78">
        <v>0</v>
      </c>
      <c r="AF391" s="78">
        <v>0</v>
      </c>
      <c r="AG391" s="78">
        <v>0</v>
      </c>
      <c r="AH391" s="78">
        <v>17</v>
      </c>
      <c r="AI391" s="78">
        <v>100</v>
      </c>
      <c r="AJ391" s="78">
        <v>0</v>
      </c>
      <c r="AK391" s="78">
        <v>0</v>
      </c>
      <c r="AL391" s="78">
        <v>0</v>
      </c>
      <c r="AM391" s="78">
        <v>0</v>
      </c>
    </row>
    <row r="392" spans="2:39" x14ac:dyDescent="0.35">
      <c r="B392" t="str">
        <f t="shared" si="253"/>
        <v>Michigan &amp; Minnesota-3</v>
      </c>
      <c r="C392" t="str">
        <f t="shared" si="254"/>
        <v>Dec 2025-Michigan &amp; Minnesota-3</v>
      </c>
      <c r="D392">
        <f t="shared" si="269"/>
        <v>3</v>
      </c>
      <c r="E392">
        <f t="shared" si="255"/>
        <v>1.03</v>
      </c>
      <c r="F392">
        <f t="shared" si="270"/>
        <v>3</v>
      </c>
      <c r="G392">
        <f t="shared" si="271"/>
        <v>1</v>
      </c>
      <c r="H392" t="str">
        <f>IF(V392="","",IFERROR(VLOOKUP(TRIM($V392),KEY!$B$2:$F$72,3,FALSE),""))</f>
        <v>Michigan &amp; Minnesota</v>
      </c>
      <c r="I392" t="str">
        <f t="shared" si="256"/>
        <v>WEST-45</v>
      </c>
      <c r="J392" t="str">
        <f t="shared" si="257"/>
        <v>Apr 2026-WEST-45</v>
      </c>
      <c r="K392">
        <f t="shared" si="272"/>
        <v>45</v>
      </c>
      <c r="L392">
        <f t="shared" si="258"/>
        <v>18.46</v>
      </c>
      <c r="M392">
        <f>IF(V392="","",IFERROR(VLOOKUP(TRIM($V392),KEY!$B$2:$F$72,5,FALSE),""))</f>
        <v>46</v>
      </c>
      <c r="N392">
        <f t="shared" si="273"/>
        <v>18</v>
      </c>
      <c r="O392" t="str">
        <f t="shared" si="259"/>
        <v>MINI-2</v>
      </c>
      <c r="P392">
        <f t="shared" si="260"/>
        <v>2</v>
      </c>
      <c r="Q392">
        <f t="shared" si="261"/>
        <v>1.06</v>
      </c>
      <c r="R392">
        <f t="shared" si="274"/>
        <v>6</v>
      </c>
      <c r="S392">
        <f t="shared" si="275"/>
        <v>1</v>
      </c>
      <c r="T392" t="str">
        <f>IF(V392="","",IFERROR(VLOOKUP(TRIM($V392),KEY!$B$2:$F$72,2,FALSE),""))</f>
        <v>MINI</v>
      </c>
      <c r="V392" s="78" t="s">
        <v>200</v>
      </c>
      <c r="W392" s="78">
        <v>2</v>
      </c>
      <c r="X392" s="78">
        <v>0</v>
      </c>
      <c r="Y392" s="78">
        <v>0</v>
      </c>
      <c r="Z392" s="78">
        <v>0</v>
      </c>
      <c r="AA392" s="78">
        <v>0</v>
      </c>
      <c r="AB392" s="78">
        <v>0</v>
      </c>
      <c r="AC392" s="78">
        <v>0</v>
      </c>
      <c r="AD392" s="78">
        <v>0</v>
      </c>
      <c r="AE392" s="78">
        <v>0</v>
      </c>
      <c r="AF392" s="78">
        <v>0</v>
      </c>
      <c r="AG392" s="78">
        <v>0</v>
      </c>
      <c r="AH392" s="78">
        <v>2</v>
      </c>
      <c r="AI392" s="78">
        <v>100</v>
      </c>
      <c r="AJ392" s="78">
        <v>0</v>
      </c>
      <c r="AK392" s="78">
        <v>0</v>
      </c>
      <c r="AL392" s="78">
        <v>0</v>
      </c>
      <c r="AM392" s="78">
        <v>0</v>
      </c>
    </row>
    <row r="393" spans="2:39" x14ac:dyDescent="0.35">
      <c r="B393" t="str">
        <f t="shared" si="253"/>
        <v>Michigan &amp; Minnesota-1</v>
      </c>
      <c r="C393" t="str">
        <f t="shared" si="254"/>
        <v>Dec 2025-Michigan &amp; Minnesota-1</v>
      </c>
      <c r="D393">
        <f t="shared" si="269"/>
        <v>1</v>
      </c>
      <c r="E393">
        <f t="shared" si="255"/>
        <v>1.01</v>
      </c>
      <c r="F393">
        <f t="shared" si="270"/>
        <v>1</v>
      </c>
      <c r="G393">
        <f t="shared" si="271"/>
        <v>1</v>
      </c>
      <c r="H393" t="str">
        <f>IF(V393="","",IFERROR(VLOOKUP(TRIM($V393),KEY!$B$2:$F$72,3,FALSE),""))</f>
        <v>Michigan &amp; Minnesota</v>
      </c>
      <c r="I393" t="str">
        <f t="shared" si="256"/>
        <v>WEST-23</v>
      </c>
      <c r="J393" t="str">
        <f t="shared" si="257"/>
        <v>Apr 2026-WEST-23</v>
      </c>
      <c r="K393">
        <f t="shared" si="272"/>
        <v>23</v>
      </c>
      <c r="L393">
        <f t="shared" si="258"/>
        <v>18.13</v>
      </c>
      <c r="M393">
        <f>IF(V393="","",IFERROR(VLOOKUP(TRIM($V393),KEY!$B$2:$F$72,5,FALSE),""))</f>
        <v>13</v>
      </c>
      <c r="N393">
        <f t="shared" si="273"/>
        <v>18</v>
      </c>
      <c r="O393" t="str">
        <f t="shared" si="259"/>
        <v>BMW-4</v>
      </c>
      <c r="P393">
        <f t="shared" si="260"/>
        <v>4</v>
      </c>
      <c r="Q393">
        <f t="shared" si="261"/>
        <v>4.03</v>
      </c>
      <c r="R393">
        <f t="shared" si="274"/>
        <v>3</v>
      </c>
      <c r="S393">
        <f t="shared" si="275"/>
        <v>4</v>
      </c>
      <c r="T393" t="str">
        <f>IF(V393="","",IFERROR(VLOOKUP(TRIM($V393),KEY!$B$2:$F$72,2,FALSE),""))</f>
        <v>BMW</v>
      </c>
      <c r="V393" s="78" t="s">
        <v>201</v>
      </c>
      <c r="W393" s="78">
        <v>15</v>
      </c>
      <c r="X393" s="78">
        <v>0</v>
      </c>
      <c r="Y393" s="78">
        <v>0</v>
      </c>
      <c r="Z393" s="78">
        <v>0</v>
      </c>
      <c r="AA393" s="78">
        <v>0</v>
      </c>
      <c r="AB393" s="78">
        <v>0</v>
      </c>
      <c r="AC393" s="78">
        <v>0</v>
      </c>
      <c r="AD393" s="78">
        <v>0</v>
      </c>
      <c r="AE393" s="78">
        <v>0</v>
      </c>
      <c r="AF393" s="78">
        <v>7</v>
      </c>
      <c r="AG393" s="78">
        <v>0</v>
      </c>
      <c r="AH393" s="78">
        <v>8</v>
      </c>
      <c r="AI393" s="78">
        <v>100</v>
      </c>
      <c r="AJ393" s="78">
        <v>0</v>
      </c>
      <c r="AK393" s="78">
        <v>0</v>
      </c>
      <c r="AL393" s="78">
        <v>0</v>
      </c>
      <c r="AM393" s="78">
        <v>0</v>
      </c>
    </row>
    <row r="394" spans="2:39" x14ac:dyDescent="0.35">
      <c r="B394" t="str">
        <f t="shared" si="253"/>
        <v/>
      </c>
      <c r="C394" t="str">
        <f t="shared" si="254"/>
        <v/>
      </c>
      <c r="D394" t="str">
        <f t="shared" si="269"/>
        <v/>
      </c>
      <c r="E394" t="str">
        <f t="shared" si="255"/>
        <v/>
      </c>
      <c r="F394" t="str">
        <f t="shared" si="270"/>
        <v/>
      </c>
      <c r="G394" t="str">
        <f t="shared" si="271"/>
        <v/>
      </c>
      <c r="H394" t="str">
        <f>IF(V394="","",IFERROR(VLOOKUP(TRIM($V394),KEY!$B$2:$F$72,3,FALSE),""))</f>
        <v/>
      </c>
      <c r="I394" t="str">
        <f t="shared" si="256"/>
        <v/>
      </c>
      <c r="J394" t="str">
        <f t="shared" si="257"/>
        <v/>
      </c>
      <c r="K394" t="str">
        <f t="shared" si="272"/>
        <v/>
      </c>
      <c r="L394" t="str">
        <f t="shared" si="258"/>
        <v/>
      </c>
      <c r="M394" t="str">
        <f>IF(V394="","",IFERROR(VLOOKUP(TRIM($V394),KEY!$B$2:$F$72,5,FALSE),""))</f>
        <v/>
      </c>
      <c r="N394" t="str">
        <f t="shared" si="273"/>
        <v/>
      </c>
      <c r="O394" t="str">
        <f t="shared" si="259"/>
        <v/>
      </c>
      <c r="P394" t="str">
        <f t="shared" si="260"/>
        <v/>
      </c>
      <c r="Q394" t="str">
        <f t="shared" si="261"/>
        <v/>
      </c>
      <c r="R394" t="str">
        <f t="shared" si="274"/>
        <v/>
      </c>
      <c r="S394" t="str">
        <f t="shared" si="275"/>
        <v/>
      </c>
      <c r="T394" t="str">
        <f>IF(V394="","",IFERROR(VLOOKUP(TRIM($V394),KEY!$B$2:$F$72,2,FALSE),""))</f>
        <v/>
      </c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</row>
    <row r="395" spans="2:39" x14ac:dyDescent="0.35">
      <c r="B395" t="str">
        <f t="shared" si="253"/>
        <v/>
      </c>
      <c r="C395" t="str">
        <f t="shared" si="254"/>
        <v/>
      </c>
      <c r="D395" t="str">
        <f t="shared" si="269"/>
        <v/>
      </c>
      <c r="E395" t="str">
        <f t="shared" si="255"/>
        <v/>
      </c>
      <c r="F395" t="str">
        <f t="shared" si="270"/>
        <v/>
      </c>
      <c r="G395" t="str">
        <f t="shared" si="271"/>
        <v/>
      </c>
      <c r="H395" t="str">
        <f>IF(V395="","",IFERROR(VLOOKUP(TRIM($V395),KEY!$B$2:$F$72,3,FALSE),""))</f>
        <v/>
      </c>
      <c r="I395" t="str">
        <f t="shared" si="256"/>
        <v/>
      </c>
      <c r="J395" t="str">
        <f t="shared" si="257"/>
        <v/>
      </c>
      <c r="K395" t="str">
        <f t="shared" si="272"/>
        <v/>
      </c>
      <c r="L395" t="str">
        <f t="shared" si="258"/>
        <v/>
      </c>
      <c r="M395" t="str">
        <f>IF(V395="","",IFERROR(VLOOKUP(TRIM($V395),KEY!$B$2:$F$72,5,FALSE),""))</f>
        <v/>
      </c>
      <c r="N395" t="str">
        <f t="shared" si="273"/>
        <v/>
      </c>
      <c r="O395" t="str">
        <f t="shared" si="259"/>
        <v/>
      </c>
      <c r="P395" t="str">
        <f t="shared" si="260"/>
        <v/>
      </c>
      <c r="Q395" t="str">
        <f t="shared" si="261"/>
        <v/>
      </c>
      <c r="R395" t="str">
        <f t="shared" si="274"/>
        <v/>
      </c>
      <c r="S395" t="str">
        <f t="shared" si="275"/>
        <v/>
      </c>
      <c r="T395" t="str">
        <f>IF(V395="","",IFERROR(VLOOKUP(TRIM($V395),KEY!$B$2:$F$72,2,FALSE),""))</f>
        <v/>
      </c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</row>
    <row r="396" spans="2:39" x14ac:dyDescent="0.35">
      <c r="B396" t="str">
        <f t="shared" si="253"/>
        <v/>
      </c>
      <c r="C396" t="str">
        <f t="shared" si="254"/>
        <v/>
      </c>
      <c r="D396" t="str">
        <f t="shared" si="269"/>
        <v/>
      </c>
      <c r="E396" t="str">
        <f t="shared" si="255"/>
        <v/>
      </c>
      <c r="F396" t="str">
        <f t="shared" si="270"/>
        <v/>
      </c>
      <c r="G396" t="str">
        <f t="shared" si="271"/>
        <v/>
      </c>
      <c r="H396" t="str">
        <f>IF(V396="","",IFERROR(VLOOKUP(TRIM($V396),KEY!$B$2:$F$72,3,FALSE),""))</f>
        <v/>
      </c>
      <c r="I396" t="str">
        <f t="shared" si="256"/>
        <v/>
      </c>
      <c r="J396" t="str">
        <f t="shared" si="257"/>
        <v/>
      </c>
      <c r="K396" t="str">
        <f t="shared" si="272"/>
        <v/>
      </c>
      <c r="L396" t="str">
        <f t="shared" si="258"/>
        <v/>
      </c>
      <c r="M396" t="str">
        <f>IF(V396="","",IFERROR(VLOOKUP(TRIM($V396),KEY!$B$2:$F$72,5,FALSE),""))</f>
        <v/>
      </c>
      <c r="N396" t="str">
        <f t="shared" si="273"/>
        <v/>
      </c>
      <c r="O396" t="str">
        <f t="shared" si="259"/>
        <v/>
      </c>
      <c r="P396" t="str">
        <f t="shared" si="260"/>
        <v/>
      </c>
      <c r="Q396" t="str">
        <f t="shared" si="261"/>
        <v/>
      </c>
      <c r="R396" t="str">
        <f t="shared" si="274"/>
        <v/>
      </c>
      <c r="S396" t="str">
        <f t="shared" si="275"/>
        <v/>
      </c>
      <c r="T396" t="str">
        <f>IF(V396="","",IFERROR(VLOOKUP(TRIM($V396),KEY!$B$2:$F$72,2,FALSE),""))</f>
        <v/>
      </c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</row>
    <row r="397" spans="2:39" x14ac:dyDescent="0.35">
      <c r="B397" t="str">
        <f t="shared" si="253"/>
        <v/>
      </c>
      <c r="C397" t="str">
        <f t="shared" si="254"/>
        <v/>
      </c>
      <c r="D397" t="str">
        <f t="shared" si="269"/>
        <v/>
      </c>
      <c r="E397" t="str">
        <f t="shared" si="255"/>
        <v/>
      </c>
      <c r="F397" t="str">
        <f t="shared" si="270"/>
        <v/>
      </c>
      <c r="G397" t="str">
        <f t="shared" si="271"/>
        <v/>
      </c>
      <c r="H397" t="str">
        <f>IF(V397="","",IFERROR(VLOOKUP(TRIM($V397),KEY!$B$2:$F$72,3,FALSE),""))</f>
        <v/>
      </c>
      <c r="I397" t="str">
        <f t="shared" si="256"/>
        <v/>
      </c>
      <c r="J397" t="str">
        <f t="shared" si="257"/>
        <v/>
      </c>
      <c r="K397" t="str">
        <f t="shared" si="272"/>
        <v/>
      </c>
      <c r="L397" t="str">
        <f t="shared" si="258"/>
        <v/>
      </c>
      <c r="M397" t="str">
        <f>IF(V397="","",IFERROR(VLOOKUP(TRIM($V397),KEY!$B$2:$F$72,5,FALSE),""))</f>
        <v/>
      </c>
      <c r="N397" t="str">
        <f t="shared" si="273"/>
        <v/>
      </c>
      <c r="O397" t="str">
        <f t="shared" si="259"/>
        <v/>
      </c>
      <c r="P397" t="str">
        <f t="shared" si="260"/>
        <v/>
      </c>
      <c r="Q397" t="str">
        <f t="shared" si="261"/>
        <v/>
      </c>
      <c r="R397" t="str">
        <f t="shared" si="274"/>
        <v/>
      </c>
      <c r="S397" t="str">
        <f t="shared" si="275"/>
        <v/>
      </c>
      <c r="T397" t="str">
        <f>IF(V397="","",IFERROR(VLOOKUP(TRIM($V397),KEY!$B$2:$F$72,2,FALSE),""))</f>
        <v/>
      </c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</row>
    <row r="398" spans="2:39" x14ac:dyDescent="0.35">
      <c r="B398" t="str">
        <f t="shared" si="253"/>
        <v/>
      </c>
      <c r="C398" t="str">
        <f t="shared" si="254"/>
        <v/>
      </c>
      <c r="D398" t="str">
        <f t="shared" si="269"/>
        <v/>
      </c>
      <c r="E398" t="str">
        <f t="shared" si="255"/>
        <v/>
      </c>
      <c r="F398" t="str">
        <f t="shared" si="270"/>
        <v/>
      </c>
      <c r="G398" t="str">
        <f t="shared" si="271"/>
        <v/>
      </c>
      <c r="H398" t="str">
        <f>IF(V398="","",IFERROR(VLOOKUP(TRIM($V398),KEY!$B$2:$F$72,3,FALSE),""))</f>
        <v/>
      </c>
      <c r="I398" t="str">
        <f t="shared" si="256"/>
        <v/>
      </c>
      <c r="J398" t="str">
        <f t="shared" si="257"/>
        <v/>
      </c>
      <c r="K398" t="str">
        <f t="shared" si="272"/>
        <v/>
      </c>
      <c r="L398" t="str">
        <f t="shared" si="258"/>
        <v/>
      </c>
      <c r="M398" t="str">
        <f>IF(V398="","",IFERROR(VLOOKUP(TRIM($V398),KEY!$B$2:$F$72,5,FALSE),""))</f>
        <v/>
      </c>
      <c r="N398" t="str">
        <f t="shared" si="273"/>
        <v/>
      </c>
      <c r="O398" t="str">
        <f t="shared" si="259"/>
        <v/>
      </c>
      <c r="P398" t="str">
        <f t="shared" si="260"/>
        <v/>
      </c>
      <c r="Q398" t="str">
        <f t="shared" si="261"/>
        <v/>
      </c>
      <c r="R398" t="str">
        <f t="shared" si="274"/>
        <v/>
      </c>
      <c r="S398" t="str">
        <f t="shared" si="275"/>
        <v/>
      </c>
      <c r="T398" t="str">
        <f>IF(V398="","",IFERROR(VLOOKUP(TRIM($V398),KEY!$B$2:$F$72,2,FALSE),""))</f>
        <v/>
      </c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</row>
    <row r="399" spans="2:39" x14ac:dyDescent="0.35">
      <c r="B399" t="str">
        <f t="shared" si="253"/>
        <v/>
      </c>
      <c r="C399" t="str">
        <f t="shared" si="254"/>
        <v/>
      </c>
      <c r="D399" t="str">
        <f t="shared" si="269"/>
        <v/>
      </c>
      <c r="E399" t="str">
        <f t="shared" si="255"/>
        <v/>
      </c>
      <c r="F399" t="str">
        <f t="shared" si="270"/>
        <v/>
      </c>
      <c r="G399" t="str">
        <f t="shared" si="271"/>
        <v/>
      </c>
      <c r="H399" t="str">
        <f>IF(V399="","",IFERROR(VLOOKUP(TRIM($V399),KEY!$B$2:$F$72,3,FALSE),""))</f>
        <v/>
      </c>
      <c r="I399" t="str">
        <f t="shared" si="256"/>
        <v/>
      </c>
      <c r="J399" t="str">
        <f t="shared" si="257"/>
        <v/>
      </c>
      <c r="K399" t="str">
        <f t="shared" si="272"/>
        <v/>
      </c>
      <c r="L399" t="str">
        <f t="shared" si="258"/>
        <v/>
      </c>
      <c r="M399" t="str">
        <f>IF(V399="","",IFERROR(VLOOKUP(TRIM($V399),KEY!$B$2:$F$72,5,FALSE),""))</f>
        <v/>
      </c>
      <c r="N399" t="str">
        <f t="shared" si="273"/>
        <v/>
      </c>
      <c r="O399" t="str">
        <f t="shared" si="259"/>
        <v/>
      </c>
      <c r="P399" t="str">
        <f t="shared" si="260"/>
        <v/>
      </c>
      <c r="Q399" t="str">
        <f t="shared" si="261"/>
        <v/>
      </c>
      <c r="R399" t="str">
        <f t="shared" si="274"/>
        <v/>
      </c>
      <c r="S399" t="str">
        <f t="shared" si="275"/>
        <v/>
      </c>
      <c r="T399" t="str">
        <f>IF(V399="","",IFERROR(VLOOKUP(TRIM($V399),KEY!$B$2:$F$72,2,FALSE),""))</f>
        <v/>
      </c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</row>
    <row r="400" spans="2:39" x14ac:dyDescent="0.35">
      <c r="B400" t="str">
        <f t="shared" si="253"/>
        <v/>
      </c>
      <c r="C400" t="str">
        <f t="shared" si="254"/>
        <v/>
      </c>
      <c r="D400" t="str">
        <f t="shared" si="269"/>
        <v/>
      </c>
      <c r="E400" t="str">
        <f t="shared" si="255"/>
        <v/>
      </c>
      <c r="F400" t="str">
        <f t="shared" si="270"/>
        <v/>
      </c>
      <c r="G400" t="str">
        <f t="shared" si="271"/>
        <v/>
      </c>
      <c r="H400" t="str">
        <f>IF(V400="","",IFERROR(VLOOKUP(TRIM($V400),KEY!$B$2:$F$72,3,FALSE),""))</f>
        <v/>
      </c>
      <c r="I400" t="str">
        <f t="shared" si="256"/>
        <v/>
      </c>
      <c r="J400" t="str">
        <f t="shared" si="257"/>
        <v/>
      </c>
      <c r="K400" t="str">
        <f t="shared" si="272"/>
        <v/>
      </c>
      <c r="L400" t="str">
        <f t="shared" si="258"/>
        <v/>
      </c>
      <c r="M400" t="str">
        <f>IF(V400="","",IFERROR(VLOOKUP(TRIM($V400),KEY!$B$2:$F$72,5,FALSE),""))</f>
        <v/>
      </c>
      <c r="N400" t="str">
        <f t="shared" si="273"/>
        <v/>
      </c>
      <c r="O400" t="str">
        <f t="shared" si="259"/>
        <v/>
      </c>
      <c r="P400" t="str">
        <f t="shared" si="260"/>
        <v/>
      </c>
      <c r="Q400" t="str">
        <f t="shared" si="261"/>
        <v/>
      </c>
      <c r="R400" t="str">
        <f t="shared" si="274"/>
        <v/>
      </c>
      <c r="S400" t="str">
        <f t="shared" si="275"/>
        <v/>
      </c>
      <c r="T400" t="str">
        <f>IF(V400="","",IFERROR(VLOOKUP(TRIM($V400),KEY!$B$2:$F$72,2,FALSE),""))</f>
        <v/>
      </c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</row>
    <row r="401" spans="2:39" x14ac:dyDescent="0.35">
      <c r="B401" t="str">
        <f t="shared" si="253"/>
        <v/>
      </c>
      <c r="C401" t="str">
        <f t="shared" si="254"/>
        <v/>
      </c>
      <c r="D401" t="str">
        <f t="shared" si="269"/>
        <v/>
      </c>
      <c r="E401" t="str">
        <f t="shared" si="255"/>
        <v/>
      </c>
      <c r="F401" t="str">
        <f t="shared" si="270"/>
        <v/>
      </c>
      <c r="G401" t="str">
        <f t="shared" si="271"/>
        <v/>
      </c>
      <c r="H401" t="str">
        <f>IF(V401="","",IFERROR(VLOOKUP(TRIM($V401),KEY!$B$2:$F$72,3,FALSE),""))</f>
        <v/>
      </c>
      <c r="I401" t="str">
        <f t="shared" si="256"/>
        <v/>
      </c>
      <c r="J401" t="str">
        <f t="shared" si="257"/>
        <v/>
      </c>
      <c r="K401" t="str">
        <f t="shared" si="272"/>
        <v/>
      </c>
      <c r="L401" t="str">
        <f t="shared" si="258"/>
        <v/>
      </c>
      <c r="M401" t="str">
        <f>IF(V401="","",IFERROR(VLOOKUP(TRIM($V401),KEY!$B$2:$F$72,5,FALSE),""))</f>
        <v/>
      </c>
      <c r="N401" t="str">
        <f t="shared" si="273"/>
        <v/>
      </c>
      <c r="O401" t="str">
        <f t="shared" si="259"/>
        <v/>
      </c>
      <c r="P401" t="str">
        <f t="shared" si="260"/>
        <v/>
      </c>
      <c r="Q401" t="str">
        <f t="shared" si="261"/>
        <v/>
      </c>
      <c r="R401" t="str">
        <f t="shared" si="274"/>
        <v/>
      </c>
      <c r="S401" t="str">
        <f t="shared" si="275"/>
        <v/>
      </c>
      <c r="T401" t="str">
        <f>IF(V401="","",IFERROR(VLOOKUP(TRIM($V401),KEY!$B$2:$F$72,2,FALSE),""))</f>
        <v/>
      </c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</row>
    <row r="402" spans="2:39" x14ac:dyDescent="0.35">
      <c r="B402" t="str">
        <f t="shared" si="253"/>
        <v/>
      </c>
      <c r="C402" t="str">
        <f t="shared" si="254"/>
        <v/>
      </c>
      <c r="D402" t="str">
        <f t="shared" si="269"/>
        <v/>
      </c>
      <c r="E402" t="str">
        <f t="shared" si="255"/>
        <v/>
      </c>
      <c r="F402" t="str">
        <f t="shared" si="270"/>
        <v/>
      </c>
      <c r="G402" t="str">
        <f t="shared" si="271"/>
        <v/>
      </c>
      <c r="H402" t="str">
        <f>IF(V402="","",IFERROR(VLOOKUP(TRIM($V402),KEY!$B$2:$F$72,3,FALSE),""))</f>
        <v/>
      </c>
      <c r="I402" t="str">
        <f t="shared" si="256"/>
        <v/>
      </c>
      <c r="J402" t="str">
        <f t="shared" si="257"/>
        <v/>
      </c>
      <c r="K402" t="str">
        <f t="shared" si="272"/>
        <v/>
      </c>
      <c r="L402" t="str">
        <f t="shared" si="258"/>
        <v/>
      </c>
      <c r="M402" t="str">
        <f>IF(V402="","",IFERROR(VLOOKUP(TRIM($V402),KEY!$B$2:$F$72,5,FALSE),""))</f>
        <v/>
      </c>
      <c r="N402" t="str">
        <f t="shared" si="273"/>
        <v/>
      </c>
      <c r="O402" t="str">
        <f t="shared" si="259"/>
        <v/>
      </c>
      <c r="P402" t="str">
        <f t="shared" si="260"/>
        <v/>
      </c>
      <c r="Q402" t="str">
        <f t="shared" si="261"/>
        <v/>
      </c>
      <c r="R402" t="str">
        <f t="shared" si="274"/>
        <v/>
      </c>
      <c r="S402" t="str">
        <f t="shared" si="275"/>
        <v/>
      </c>
      <c r="T402" t="str">
        <f>IF(V402="","",IFERROR(VLOOKUP(TRIM($V402),KEY!$B$2:$F$72,2,FALSE),""))</f>
        <v/>
      </c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</row>
    <row r="403" spans="2:39" x14ac:dyDescent="0.35">
      <c r="B403" t="str">
        <f t="shared" si="253"/>
        <v/>
      </c>
      <c r="C403" t="str">
        <f t="shared" si="254"/>
        <v/>
      </c>
      <c r="D403" t="str">
        <f t="shared" ref="D403:D408" si="276">IF(V403="","",COUNTIFS($H$339:$H$408,H403,$E$339:$E$408,"&lt;"&amp;E403)+1)</f>
        <v/>
      </c>
      <c r="E403" t="str">
        <f t="shared" si="255"/>
        <v/>
      </c>
      <c r="F403" t="str">
        <f t="shared" ref="F403:F408" si="277">IF(V403="","",COUNTIFS($H$339:$H$408,H403,$V$339:$V$408,"&lt;"&amp;V403)+1)</f>
        <v/>
      </c>
      <c r="G403" t="str">
        <f t="shared" ref="G403:G408" si="278">IF(V403="","",COUNTIFS($H$339:$H$408,H403,$Y$339:$Y$408,"&gt;"&amp;Y403)+1)</f>
        <v/>
      </c>
      <c r="H403" t="str">
        <f>IF(V403="","",IFERROR(VLOOKUP(TRIM($V403),KEY!$B$2:$F$72,3,FALSE),""))</f>
        <v/>
      </c>
      <c r="I403" t="str">
        <f t="shared" si="256"/>
        <v/>
      </c>
      <c r="J403" t="str">
        <f t="shared" si="257"/>
        <v/>
      </c>
      <c r="K403" t="str">
        <f t="shared" ref="K403:K408" si="279">IFERROR(IF(V403="","",RANK(L403,$L$339:$L$408,1)),"-")</f>
        <v/>
      </c>
      <c r="L403" t="str">
        <f t="shared" si="258"/>
        <v/>
      </c>
      <c r="M403" t="str">
        <f>IF(V403="","",IFERROR(VLOOKUP(TRIM($V403),KEY!$B$2:$F$72,5,FALSE),""))</f>
        <v/>
      </c>
      <c r="N403" t="str">
        <f t="shared" ref="N403:N408" si="280">IFERROR(IF(V403="","",RANK(Y403,$Y$339:$Y$408)),"-")</f>
        <v/>
      </c>
      <c r="O403" t="str">
        <f t="shared" si="259"/>
        <v/>
      </c>
      <c r="P403" t="str">
        <f t="shared" ref="P403:P408" si="281">IF(OR(V403="",Q403=""),"",COUNTIFS($T$4:$T$74,T403,$Q$4:$Q$74,"&lt;"&amp;Q403)+1)</f>
        <v/>
      </c>
      <c r="Q403" t="str">
        <f t="shared" ref="Q403:Q408" si="282">IF(OR(V403="",W403=0),"",S403+(R403/100))</f>
        <v/>
      </c>
      <c r="R403" t="str">
        <f t="shared" ref="R403:R408" si="283">IF(V403="","",COUNTIFS($T$339:$T$408,T403,$V$339:$V$408,"&lt;"&amp;V403)+1)</f>
        <v/>
      </c>
      <c r="S403" t="str">
        <f t="shared" ref="S403:S408" si="284">IF(V403="","",COUNTIFS($T$339:$T$408,T403,$Y$339:$Y$408,"&gt;"&amp;Y403)+1)</f>
        <v/>
      </c>
      <c r="T403" t="str">
        <f>IF(V403="","",IFERROR(VLOOKUP(TRIM($V403),KEY!$B$2:$F$72,2,FALSE),""))</f>
        <v/>
      </c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</row>
    <row r="404" spans="2:39" x14ac:dyDescent="0.35">
      <c r="B404" t="str">
        <f t="shared" si="253"/>
        <v/>
      </c>
      <c r="C404" t="str">
        <f t="shared" si="254"/>
        <v/>
      </c>
      <c r="D404" t="str">
        <f t="shared" si="276"/>
        <v/>
      </c>
      <c r="E404" t="str">
        <f t="shared" si="255"/>
        <v/>
      </c>
      <c r="F404" t="str">
        <f t="shared" si="277"/>
        <v/>
      </c>
      <c r="G404" t="str">
        <f t="shared" si="278"/>
        <v/>
      </c>
      <c r="H404" t="str">
        <f>IF(V404="","",IFERROR(VLOOKUP(TRIM($V404),KEY!$B$2:$F$72,3,FALSE),""))</f>
        <v/>
      </c>
      <c r="I404" t="str">
        <f t="shared" si="256"/>
        <v/>
      </c>
      <c r="J404" t="str">
        <f t="shared" si="257"/>
        <v/>
      </c>
      <c r="K404" t="str">
        <f t="shared" si="279"/>
        <v/>
      </c>
      <c r="L404" t="str">
        <f t="shared" si="258"/>
        <v/>
      </c>
      <c r="M404" t="str">
        <f>IF(V404="","",IFERROR(VLOOKUP(TRIM($V404),KEY!$B$2:$F$72,5,FALSE),""))</f>
        <v/>
      </c>
      <c r="N404" t="str">
        <f t="shared" si="280"/>
        <v/>
      </c>
      <c r="O404" t="str">
        <f t="shared" si="259"/>
        <v/>
      </c>
      <c r="P404" t="str">
        <f t="shared" si="281"/>
        <v/>
      </c>
      <c r="Q404" t="str">
        <f t="shared" si="282"/>
        <v/>
      </c>
      <c r="R404" t="str">
        <f t="shared" si="283"/>
        <v/>
      </c>
      <c r="S404" t="str">
        <f t="shared" si="284"/>
        <v/>
      </c>
      <c r="T404" t="str">
        <f>IF(V404="","",IFERROR(VLOOKUP(TRIM($V404),KEY!$B$2:$F$72,2,FALSE),""))</f>
        <v/>
      </c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</row>
    <row r="405" spans="2:39" x14ac:dyDescent="0.35">
      <c r="B405" t="str">
        <f t="shared" si="253"/>
        <v/>
      </c>
      <c r="C405" t="str">
        <f t="shared" si="254"/>
        <v/>
      </c>
      <c r="D405" t="str">
        <f t="shared" si="276"/>
        <v/>
      </c>
      <c r="E405" t="str">
        <f t="shared" si="255"/>
        <v/>
      </c>
      <c r="F405" t="str">
        <f t="shared" si="277"/>
        <v/>
      </c>
      <c r="G405" t="str">
        <f t="shared" si="278"/>
        <v/>
      </c>
      <c r="H405" t="str">
        <f>IF(V405="","",IFERROR(VLOOKUP(TRIM($V405),KEY!$B$2:$F$72,3,FALSE),""))</f>
        <v/>
      </c>
      <c r="I405" t="str">
        <f t="shared" si="256"/>
        <v/>
      </c>
      <c r="J405" t="str">
        <f t="shared" si="257"/>
        <v/>
      </c>
      <c r="K405" t="str">
        <f t="shared" si="279"/>
        <v/>
      </c>
      <c r="L405" t="str">
        <f t="shared" si="258"/>
        <v/>
      </c>
      <c r="M405" t="str">
        <f>IF(V405="","",IFERROR(VLOOKUP(TRIM($V405),KEY!$B$2:$F$72,5,FALSE),""))</f>
        <v/>
      </c>
      <c r="N405" t="str">
        <f t="shared" si="280"/>
        <v/>
      </c>
      <c r="O405" t="str">
        <f t="shared" si="259"/>
        <v/>
      </c>
      <c r="P405" t="str">
        <f t="shared" si="281"/>
        <v/>
      </c>
      <c r="Q405" t="str">
        <f t="shared" si="282"/>
        <v/>
      </c>
      <c r="R405" t="str">
        <f t="shared" si="283"/>
        <v/>
      </c>
      <c r="S405" t="str">
        <f t="shared" si="284"/>
        <v/>
      </c>
      <c r="T405" t="str">
        <f>IF(V405="","",IFERROR(VLOOKUP(TRIM($V405),KEY!$B$2:$F$72,2,FALSE),""))</f>
        <v/>
      </c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</row>
    <row r="406" spans="2:39" x14ac:dyDescent="0.35">
      <c r="B406" t="str">
        <f t="shared" si="253"/>
        <v/>
      </c>
      <c r="C406" t="str">
        <f t="shared" si="254"/>
        <v/>
      </c>
      <c r="D406" t="str">
        <f t="shared" si="276"/>
        <v/>
      </c>
      <c r="E406" t="str">
        <f t="shared" si="255"/>
        <v/>
      </c>
      <c r="F406" t="str">
        <f t="shared" si="277"/>
        <v/>
      </c>
      <c r="G406" t="str">
        <f t="shared" si="278"/>
        <v/>
      </c>
      <c r="H406" t="str">
        <f>IF(V406="","",IFERROR(VLOOKUP(TRIM($V406),KEY!$B$2:$F$72,3,FALSE),""))</f>
        <v/>
      </c>
      <c r="I406" t="str">
        <f t="shared" si="256"/>
        <v/>
      </c>
      <c r="J406" t="str">
        <f t="shared" si="257"/>
        <v/>
      </c>
      <c r="K406" t="str">
        <f t="shared" si="279"/>
        <v/>
      </c>
      <c r="L406" t="str">
        <f t="shared" si="258"/>
        <v/>
      </c>
      <c r="M406" t="str">
        <f>IF(V406="","",IFERROR(VLOOKUP(TRIM($V406),KEY!$B$2:$F$72,5,FALSE),""))</f>
        <v/>
      </c>
      <c r="N406" t="str">
        <f t="shared" si="280"/>
        <v/>
      </c>
      <c r="O406" t="str">
        <f t="shared" si="259"/>
        <v/>
      </c>
      <c r="P406" t="str">
        <f t="shared" si="281"/>
        <v/>
      </c>
      <c r="Q406" t="str">
        <f t="shared" si="282"/>
        <v/>
      </c>
      <c r="R406" t="str">
        <f t="shared" si="283"/>
        <v/>
      </c>
      <c r="S406" t="str">
        <f t="shared" si="284"/>
        <v/>
      </c>
      <c r="T406" t="str">
        <f>IF(V406="","",IFERROR(VLOOKUP(TRIM($V406),KEY!$B$2:$F$72,2,FALSE),""))</f>
        <v/>
      </c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</row>
    <row r="407" spans="2:39" x14ac:dyDescent="0.35">
      <c r="B407" t="str">
        <f t="shared" si="253"/>
        <v/>
      </c>
      <c r="C407" t="str">
        <f t="shared" si="254"/>
        <v/>
      </c>
      <c r="D407" t="str">
        <f t="shared" si="276"/>
        <v/>
      </c>
      <c r="E407" t="str">
        <f t="shared" si="255"/>
        <v/>
      </c>
      <c r="F407" t="str">
        <f t="shared" si="277"/>
        <v/>
      </c>
      <c r="G407" t="str">
        <f t="shared" si="278"/>
        <v/>
      </c>
      <c r="H407" t="str">
        <f>IF(V407="","",IFERROR(VLOOKUP(TRIM($V407),KEY!$B$2:$F$72,3,FALSE),""))</f>
        <v/>
      </c>
      <c r="I407" t="str">
        <f t="shared" si="256"/>
        <v/>
      </c>
      <c r="J407" t="str">
        <f t="shared" si="257"/>
        <v/>
      </c>
      <c r="K407" t="str">
        <f t="shared" si="279"/>
        <v/>
      </c>
      <c r="L407" t="str">
        <f t="shared" si="258"/>
        <v/>
      </c>
      <c r="M407" t="str">
        <f>IF(V407="","",IFERROR(VLOOKUP(TRIM($V407),KEY!$B$2:$F$72,5,FALSE),""))</f>
        <v/>
      </c>
      <c r="N407" t="str">
        <f t="shared" si="280"/>
        <v/>
      </c>
      <c r="O407" t="str">
        <f t="shared" si="259"/>
        <v/>
      </c>
      <c r="P407" t="str">
        <f t="shared" si="281"/>
        <v/>
      </c>
      <c r="Q407" t="str">
        <f t="shared" si="282"/>
        <v/>
      </c>
      <c r="R407" t="str">
        <f t="shared" si="283"/>
        <v/>
      </c>
      <c r="S407" t="str">
        <f t="shared" si="284"/>
        <v/>
      </c>
      <c r="T407" t="str">
        <f>IF(V407="","",IFERROR(VLOOKUP(TRIM($V407),KEY!$B$2:$F$72,2,FALSE),""))</f>
        <v/>
      </c>
      <c r="V407" s="79"/>
      <c r="W407" s="79" t="s">
        <v>202</v>
      </c>
      <c r="X407" s="79" t="s">
        <v>202</v>
      </c>
      <c r="Y407" s="79" t="s">
        <v>202</v>
      </c>
      <c r="Z407" s="79" t="s">
        <v>202</v>
      </c>
      <c r="AA407" s="79" t="s">
        <v>202</v>
      </c>
      <c r="AB407" s="79" t="s">
        <v>202</v>
      </c>
      <c r="AC407" s="79" t="s">
        <v>202</v>
      </c>
      <c r="AD407" s="79" t="s">
        <v>202</v>
      </c>
      <c r="AE407" s="79" t="s">
        <v>202</v>
      </c>
      <c r="AF407" s="79" t="s">
        <v>202</v>
      </c>
      <c r="AG407" s="79" t="s">
        <v>202</v>
      </c>
      <c r="AH407" s="79" t="s">
        <v>202</v>
      </c>
      <c r="AI407" s="79" t="s">
        <v>202</v>
      </c>
      <c r="AJ407" s="79" t="s">
        <v>202</v>
      </c>
      <c r="AK407" s="79" t="s">
        <v>202</v>
      </c>
      <c r="AL407" s="79" t="s">
        <v>202</v>
      </c>
      <c r="AM407" s="79" t="s">
        <v>202</v>
      </c>
    </row>
    <row r="408" spans="2:39" x14ac:dyDescent="0.35">
      <c r="B408" t="str">
        <f t="shared" si="253"/>
        <v/>
      </c>
      <c r="C408" t="str">
        <f t="shared" si="254"/>
        <v/>
      </c>
      <c r="D408" t="str">
        <f t="shared" si="276"/>
        <v/>
      </c>
      <c r="E408" t="str">
        <f t="shared" si="255"/>
        <v/>
      </c>
      <c r="F408" t="str">
        <f t="shared" si="277"/>
        <v/>
      </c>
      <c r="G408" t="str">
        <f t="shared" si="278"/>
        <v/>
      </c>
      <c r="H408" t="str">
        <f>IF(V408="","",IFERROR(VLOOKUP(TRIM($V408),KEY!$B$2:$F$72,3,FALSE),""))</f>
        <v/>
      </c>
      <c r="I408" t="str">
        <f t="shared" si="256"/>
        <v/>
      </c>
      <c r="J408" t="str">
        <f t="shared" si="257"/>
        <v/>
      </c>
      <c r="K408" t="str">
        <f t="shared" si="279"/>
        <v/>
      </c>
      <c r="L408" t="str">
        <f t="shared" si="258"/>
        <v/>
      </c>
      <c r="M408" t="str">
        <f>IF(V408="","",IFERROR(VLOOKUP(TRIM($V408),KEY!$B$2:$F$72,5,FALSE),""))</f>
        <v/>
      </c>
      <c r="N408" t="str">
        <f t="shared" si="280"/>
        <v/>
      </c>
      <c r="O408" t="str">
        <f t="shared" si="259"/>
        <v/>
      </c>
      <c r="P408" t="str">
        <f t="shared" si="281"/>
        <v/>
      </c>
      <c r="Q408" t="str">
        <f t="shared" si="282"/>
        <v/>
      </c>
      <c r="R408" t="str">
        <f t="shared" si="283"/>
        <v/>
      </c>
      <c r="S408" t="str">
        <f t="shared" si="284"/>
        <v/>
      </c>
      <c r="T408" t="str">
        <f>IF(V408="","",IFERROR(VLOOKUP(TRIM($V408),KEY!$B$2:$F$72,2,FALSE),""))</f>
        <v/>
      </c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</row>
    <row r="409" spans="2:39" ht="15.5" x14ac:dyDescent="0.35">
      <c r="V409" s="1" t="s">
        <v>203</v>
      </c>
      <c r="W409" s="57">
        <f>SUM(W339:W408)</f>
        <v>1298</v>
      </c>
      <c r="X409" s="57">
        <f>SUM(X339:X408)</f>
        <v>58</v>
      </c>
      <c r="Y409" s="58">
        <f>X409/W409</f>
        <v>4.4684129429892139E-2</v>
      </c>
      <c r="Z409" s="57">
        <f>SUM(Z339:Z408)</f>
        <v>6</v>
      </c>
      <c r="AA409" s="57">
        <f>SUM(AA339:AA408)</f>
        <v>58</v>
      </c>
      <c r="AB409" s="57">
        <f>SUM(AB339:AB408)</f>
        <v>0</v>
      </c>
      <c r="AC409" s="57">
        <f>SUM(AC339:AC408)</f>
        <v>12</v>
      </c>
      <c r="AD409" s="57">
        <f>SUM(AD339:AD408)</f>
        <v>76</v>
      </c>
      <c r="AE409" s="58">
        <f>AD409/W409</f>
        <v>5.8551617873651769E-2</v>
      </c>
      <c r="AF409" s="57">
        <f>SUM(AF339:AF408)</f>
        <v>163</v>
      </c>
      <c r="AG409" s="57">
        <f>SUM(AG339:AG408)</f>
        <v>0</v>
      </c>
      <c r="AH409" s="57">
        <f>SUM(AH339:AH408)</f>
        <v>1045</v>
      </c>
      <c r="AI409" s="58">
        <f>(AF409+AG409+AH409)/W409</f>
        <v>0.93066255778120188</v>
      </c>
      <c r="AJ409" s="57">
        <f>SUM(AJ339:AJ408)</f>
        <v>7</v>
      </c>
      <c r="AK409" s="57">
        <f>SUM(AK339:AK408)</f>
        <v>7</v>
      </c>
      <c r="AL409" s="57">
        <f>SUM(AL339:AL408)</f>
        <v>0</v>
      </c>
      <c r="AM409" s="58">
        <f>(AJ409+AK409+AL409)/W409</f>
        <v>1.078582434514638E-2</v>
      </c>
    </row>
    <row r="410" spans="2:39" x14ac:dyDescent="0.35">
      <c r="J410" t="str">
        <f ca="1">$AA$1&amp;"-"&amp;O410</f>
        <v>Apr 2026-RGN-4</v>
      </c>
      <c r="N410" t="s">
        <v>204</v>
      </c>
      <c r="O410" t="str">
        <f ca="1">T410&amp;"-"&amp;P410</f>
        <v>RGN-4</v>
      </c>
      <c r="P410">
        <f ca="1">COUNTIFS(T410:T418,T410,Q410:Q418,"&lt;"&amp;Q410)+1</f>
        <v>4</v>
      </c>
      <c r="Q410">
        <f ca="1">S410+(R410/100)</f>
        <v>4.01</v>
      </c>
      <c r="R410">
        <f>COUNTIFS(T410:T418,T410,V410:V418,"&lt;"&amp;V410)+1</f>
        <v>1</v>
      </c>
      <c r="S410">
        <f ca="1">COUNTIFS(T410:T418,T410,Y410:Y418,"&gt;"&amp;Y410)+1</f>
        <v>4</v>
      </c>
      <c r="T410" t="s">
        <v>205</v>
      </c>
      <c r="V410" t="s">
        <v>204</v>
      </c>
      <c r="W410" s="1">
        <f ca="1">SUMIF(H339:W408,N410,W339:W408)</f>
        <v>176</v>
      </c>
      <c r="X410" s="1">
        <f ca="1">SUMIF(H339:X408,N410,X339:X408)</f>
        <v>6</v>
      </c>
      <c r="Y410" s="3">
        <f t="shared" ref="Y410:Y412" ca="1" si="285">X410/W410</f>
        <v>3.4090909090909088E-2</v>
      </c>
      <c r="Z410" s="1">
        <f ca="1">SUMIF(H339:Z408,N410,Z339:Z408)</f>
        <v>1</v>
      </c>
      <c r="AA410" s="1">
        <f ca="1">SUMIF(H339:AA408,N410,AA339:AA408)</f>
        <v>6</v>
      </c>
      <c r="AB410" s="1">
        <f ca="1">SUMIF(H339:AB408,N410,AB339:AB408)</f>
        <v>0</v>
      </c>
      <c r="AC410" s="1">
        <f ca="1">SUMIF(H339:AC408,N410,AC339:AC408)</f>
        <v>0</v>
      </c>
      <c r="AD410" s="1">
        <f ca="1">SUMIF(H339:AD408,N410,AD339:AD408)</f>
        <v>7</v>
      </c>
      <c r="AE410" s="3">
        <f t="shared" ref="AE410:AE412" ca="1" si="286">AD410/W410</f>
        <v>3.9772727272727272E-2</v>
      </c>
      <c r="AF410" s="1">
        <f ca="1">SUMIF(H339:AF408,N410,AF339:AF408)</f>
        <v>8</v>
      </c>
      <c r="AG410" s="1">
        <f ca="1">SUMIF(H339:AG408,N410,AG339:AG408)</f>
        <v>0</v>
      </c>
      <c r="AH410" s="1">
        <f ca="1">SUMIF(H339:AH408,N410,AH339:AH408)</f>
        <v>157</v>
      </c>
      <c r="AI410" s="3">
        <f t="shared" ref="AI410:AI412" ca="1" si="287">(AF410+AG410+AH410)/W410</f>
        <v>0.9375</v>
      </c>
      <c r="AJ410" s="1">
        <f ca="1">SUMIF(H339:AJ408,N410,AJ339:AJ408)</f>
        <v>0</v>
      </c>
      <c r="AK410" s="1">
        <f ca="1">SUMIF(H339:AK408,N410,AK339:AK408)</f>
        <v>4</v>
      </c>
      <c r="AL410" s="1">
        <f ca="1">SUMIF(H339:AL408,N410,AL339:AL408)</f>
        <v>0</v>
      </c>
      <c r="AM410" s="3">
        <f t="shared" ref="AM410:AM412" ca="1" si="288">(AJ410+AK410+AL410)/W410</f>
        <v>2.2727272727272728E-2</v>
      </c>
    </row>
    <row r="411" spans="2:39" x14ac:dyDescent="0.35">
      <c r="J411" t="str">
        <f t="shared" ref="J411:J412" ca="1" si="289">$AA$1&amp;"-"&amp;O411</f>
        <v>Apr 2026-RGN-7</v>
      </c>
      <c r="N411" t="s">
        <v>206</v>
      </c>
      <c r="O411" t="str">
        <f t="shared" ref="O411:O412" ca="1" si="290">T411&amp;"-"&amp;P411</f>
        <v>RGN-7</v>
      </c>
      <c r="P411">
        <f ca="1">COUNTIFS(T410:T418,T411,Q410:Q418,"&lt;"&amp;Q411)+1</f>
        <v>7</v>
      </c>
      <c r="Q411">
        <f t="shared" ref="Q411:Q412" ca="1" si="291">S411+(R411/100)</f>
        <v>7.02</v>
      </c>
      <c r="R411">
        <f>COUNTIFS(T410:T418,T411,V410:V418,"&lt;"&amp;V411)+1</f>
        <v>2</v>
      </c>
      <c r="S411">
        <f ca="1">COUNTIFS(T410:T418,T411,Y410:Y418,"&gt;"&amp;Y411)+1</f>
        <v>7</v>
      </c>
      <c r="T411" t="s">
        <v>205</v>
      </c>
      <c r="V411" t="s">
        <v>206</v>
      </c>
      <c r="W411" s="1">
        <f ca="1">SUMIF(H339:W408,N411,W339:W408)</f>
        <v>68</v>
      </c>
      <c r="X411" s="1">
        <f ca="1">SUMIF(H339:X408,N411,X339:X408)</f>
        <v>0</v>
      </c>
      <c r="Y411" s="3">
        <f t="shared" ca="1" si="285"/>
        <v>0</v>
      </c>
      <c r="Z411" s="1">
        <f ca="1">SUMIF(H339:Z408,N411,Z339:Z408)</f>
        <v>0</v>
      </c>
      <c r="AA411" s="1">
        <f ca="1">SUMIF(H339:AA408,N411,AA339:AA408)</f>
        <v>0</v>
      </c>
      <c r="AB411" s="1">
        <f ca="1">SUMIF(H339:AB408,N411,AB339:AB408)</f>
        <v>0</v>
      </c>
      <c r="AC411" s="1">
        <f ca="1">SUMIF(H339:AC408,N411,AC339:AC408)</f>
        <v>0</v>
      </c>
      <c r="AD411" s="1">
        <f ca="1">SUMIF(H339:AD408,N411,AD339:AD408)</f>
        <v>0</v>
      </c>
      <c r="AE411" s="3">
        <f t="shared" ca="1" si="286"/>
        <v>0</v>
      </c>
      <c r="AF411" s="1">
        <f ca="1">SUMIF(H339:AF408,N411,AF339:AF408)</f>
        <v>1</v>
      </c>
      <c r="AG411" s="1">
        <f ca="1">SUMIF(H339:AG408,N411,AG339:AG408)</f>
        <v>0</v>
      </c>
      <c r="AH411" s="1">
        <f ca="1">SUMIF(H339:AH408,N411,AH339:AH408)</f>
        <v>67</v>
      </c>
      <c r="AI411" s="3">
        <f t="shared" ca="1" si="287"/>
        <v>1</v>
      </c>
      <c r="AJ411" s="1">
        <f ca="1">SUMIF(H339:AJ408,N411,AJ339:AJ408)</f>
        <v>0</v>
      </c>
      <c r="AK411" s="1">
        <f ca="1">SUMIF(H339:AK408,N411,AK339:AK408)</f>
        <v>0</v>
      </c>
      <c r="AL411" s="1">
        <f ca="1">SUMIF(H339:AL408,N411,AL339:AL408)</f>
        <v>0</v>
      </c>
      <c r="AM411" s="3">
        <f t="shared" ca="1" si="288"/>
        <v>0</v>
      </c>
    </row>
    <row r="412" spans="2:39" x14ac:dyDescent="0.35">
      <c r="J412" t="str">
        <f t="shared" ca="1" si="289"/>
        <v>Apr 2026-RGN-8</v>
      </c>
      <c r="N412" t="s">
        <v>207</v>
      </c>
      <c r="O412" t="str">
        <f t="shared" ca="1" si="290"/>
        <v>RGN-8</v>
      </c>
      <c r="P412">
        <f ca="1">COUNTIFS(T410:T418,T412,Q410:Q418,"&lt;"&amp;Q412)+1</f>
        <v>8</v>
      </c>
      <c r="Q412">
        <f t="shared" ca="1" si="291"/>
        <v>7.03</v>
      </c>
      <c r="R412">
        <f>COUNTIFS(T410:T418,T412,V410:V418,"&lt;"&amp;V412)+1</f>
        <v>3</v>
      </c>
      <c r="S412">
        <f ca="1">COUNTIFS(T410:T418,T412,Y410:Y418,"&gt;"&amp;Y412)+1</f>
        <v>7</v>
      </c>
      <c r="T412" t="s">
        <v>205</v>
      </c>
      <c r="V412" t="s">
        <v>207</v>
      </c>
      <c r="W412" s="1">
        <f ca="1">SUMIF(H339:W408,N412,W339:W408)</f>
        <v>34</v>
      </c>
      <c r="X412" s="1">
        <f ca="1">SUMIF(H339:X408,N412,X339:X408)</f>
        <v>0</v>
      </c>
      <c r="Y412" s="3">
        <f t="shared" ca="1" si="285"/>
        <v>0</v>
      </c>
      <c r="Z412" s="1">
        <f ca="1">SUMIF(H339:Z408,N412,Z339:Z408)</f>
        <v>0</v>
      </c>
      <c r="AA412" s="1">
        <f ca="1">SUMIF(H339:AA408,N412,AA339:AA408)</f>
        <v>0</v>
      </c>
      <c r="AB412" s="1">
        <f ca="1">SUMIF(H339:AB408,N412,AB339:AB408)</f>
        <v>0</v>
      </c>
      <c r="AC412" s="1">
        <f ca="1">SUMIF(H339:AC408,N412,AC339:AC408)</f>
        <v>0</v>
      </c>
      <c r="AD412" s="1">
        <f ca="1">SUMIF(H339:AD408,N412,AD339:AD408)</f>
        <v>0</v>
      </c>
      <c r="AE412" s="3">
        <f t="shared" ca="1" si="286"/>
        <v>0</v>
      </c>
      <c r="AF412" s="1">
        <f ca="1">SUMIF(H339:AF408,N412,AF339:AF408)</f>
        <v>7</v>
      </c>
      <c r="AG412" s="1">
        <f ca="1">SUMIF(H339:AG408,N412,AG339:AG408)</f>
        <v>0</v>
      </c>
      <c r="AH412" s="1">
        <f ca="1">SUMIF(H339:AH408,N412,AH339:AH408)</f>
        <v>27</v>
      </c>
      <c r="AI412" s="3">
        <f t="shared" ca="1" si="287"/>
        <v>1</v>
      </c>
      <c r="AJ412" s="1">
        <f ca="1">SUMIF(H339:AJ408,N412,AJ339:AJ408)</f>
        <v>0</v>
      </c>
      <c r="AK412" s="1">
        <f ca="1">SUMIF(H339:AK408,N412,AK339:AK408)</f>
        <v>0</v>
      </c>
      <c r="AL412" s="1">
        <f ca="1">SUMIF(H339:AL408,N412,AL339:AL408)</f>
        <v>0</v>
      </c>
      <c r="AM412" s="3">
        <f t="shared" ca="1" si="288"/>
        <v>0</v>
      </c>
    </row>
    <row r="413" spans="2:39" x14ac:dyDescent="0.35">
      <c r="J413" t="str">
        <f t="shared" ref="J413:J417" ca="1" si="292">$AA$1&amp;"-"&amp;O413</f>
        <v>Apr 2026-RGN-6</v>
      </c>
      <c r="N413" t="s">
        <v>208</v>
      </c>
      <c r="O413" t="str">
        <f t="shared" ref="O413:O417" ca="1" si="293">T413&amp;"-"&amp;P413</f>
        <v>RGN-6</v>
      </c>
      <c r="P413">
        <f ca="1">COUNTIFS(T409:T417,T413,Q409:Q417,"&lt;"&amp;Q413)+1</f>
        <v>6</v>
      </c>
      <c r="Q413">
        <f t="shared" ref="Q413:Q417" ca="1" si="294">S413+(R413/100)</f>
        <v>6.04</v>
      </c>
      <c r="R413">
        <f>COUNTIFS(T409:T417,T413,V409:V417,"&lt;"&amp;V413)+1</f>
        <v>4</v>
      </c>
      <c r="S413">
        <f ca="1">COUNTIFS(T409:T417,T413,Y409:Y417,"&gt;"&amp;Y413)+1</f>
        <v>6</v>
      </c>
      <c r="T413" t="s">
        <v>205</v>
      </c>
      <c r="V413" t="s">
        <v>208</v>
      </c>
      <c r="W413" s="1">
        <f ca="1">SUMIF(H338:W407,N413,W338:W407)</f>
        <v>229</v>
      </c>
      <c r="X413" s="1">
        <f ca="1">SUMIF(H338:X407,N413,X338:X407)</f>
        <v>2</v>
      </c>
      <c r="Y413" s="3">
        <f t="shared" ref="Y413:Y417" ca="1" si="295">X413/W413</f>
        <v>8.7336244541484712E-3</v>
      </c>
      <c r="Z413" s="1">
        <f ca="1">SUMIF(H338:Z407,N413,Z338:Z407)</f>
        <v>0</v>
      </c>
      <c r="AA413" s="1">
        <f ca="1">SUMIF(H338:AA407,N413,AA338:AA407)</f>
        <v>2</v>
      </c>
      <c r="AB413" s="1">
        <f ca="1">SUMIF(H338:AB407,N413,AB338:AB407)</f>
        <v>0</v>
      </c>
      <c r="AC413" s="1">
        <f ca="1">SUMIF(H338:AC407,N413,AC338:AC407)</f>
        <v>4</v>
      </c>
      <c r="AD413" s="1">
        <f ca="1">SUMIF(H338:AD407,N413,AD338:AD407)</f>
        <v>6</v>
      </c>
      <c r="AE413" s="3">
        <f t="shared" ref="AE413:AE417" ca="1" si="296">AD413/W413</f>
        <v>2.6200873362445413E-2</v>
      </c>
      <c r="AF413" s="1">
        <f ca="1">SUMIF(H338:AF407,N413,AF338:AF407)</f>
        <v>80</v>
      </c>
      <c r="AG413" s="1">
        <f ca="1">SUMIF(H338:AG407,N413,AG338:AG407)</f>
        <v>0</v>
      </c>
      <c r="AH413" s="1">
        <f ca="1">SUMIF(H338:AH407,N413,AH338:AH407)</f>
        <v>143</v>
      </c>
      <c r="AI413" s="3">
        <f t="shared" ref="AI413:AI417" ca="1" si="297">(AF413+AG413+AH413)/W413</f>
        <v>0.97379912663755464</v>
      </c>
      <c r="AJ413" s="1">
        <f ca="1">SUMIF(H338:AJ407,N413,AJ338:AJ407)</f>
        <v>0</v>
      </c>
      <c r="AK413" s="1">
        <f ca="1">SUMIF(H338:AK407,N413,AK338:AK407)</f>
        <v>0</v>
      </c>
      <c r="AL413" s="1">
        <f ca="1">SUMIF(H338:AL407,N413,AL338:AL407)</f>
        <v>0</v>
      </c>
      <c r="AM413" s="3">
        <f t="shared" ref="AM413:AM417" ca="1" si="298">(AJ413+AK413+AL413)/W413</f>
        <v>0</v>
      </c>
    </row>
    <row r="414" spans="2:39" x14ac:dyDescent="0.35">
      <c r="J414" t="str">
        <f t="shared" ca="1" si="292"/>
        <v>Apr 2026-RGN-2</v>
      </c>
      <c r="N414" t="s">
        <v>209</v>
      </c>
      <c r="O414" t="str">
        <f t="shared" ca="1" si="293"/>
        <v>RGN-2</v>
      </c>
      <c r="P414">
        <f ca="1">COUNTIFS(T409:T417,T414,Q409:Q417,"&lt;"&amp;Q414)+1</f>
        <v>2</v>
      </c>
      <c r="Q414">
        <f t="shared" ca="1" si="294"/>
        <v>2.0499999999999998</v>
      </c>
      <c r="R414">
        <f>COUNTIFS(T409:T417,T414,V409:V417,"&lt;"&amp;V414)+1</f>
        <v>5</v>
      </c>
      <c r="S414">
        <f ca="1">COUNTIFS(T409:T417,T414,Y409:Y417,"&gt;"&amp;Y414)+1</f>
        <v>2</v>
      </c>
      <c r="T414" t="s">
        <v>205</v>
      </c>
      <c r="V414" t="s">
        <v>209</v>
      </c>
      <c r="W414" s="1">
        <f ca="1">SUMIF(H338:W407,N414,W338:W407)</f>
        <v>399</v>
      </c>
      <c r="X414" s="1">
        <f ca="1">SUMIF(H338:X407,N414,X338:X407)</f>
        <v>35</v>
      </c>
      <c r="Y414" s="3">
        <f t="shared" ca="1" si="295"/>
        <v>8.771929824561403E-2</v>
      </c>
      <c r="Z414" s="1">
        <f ca="1">SUMIF(H338:Z407,N414,Z338:Z407)</f>
        <v>4</v>
      </c>
      <c r="AA414" s="1">
        <f ca="1">SUMIF(H338:AA407,N414,AA338:AA407)</f>
        <v>35</v>
      </c>
      <c r="AB414" s="1">
        <f ca="1">SUMIF(H338:AB407,N414,AB338:AB407)</f>
        <v>0</v>
      </c>
      <c r="AC414" s="1">
        <f ca="1">SUMIF(H338:AC407,N414,AC338:AC407)</f>
        <v>3</v>
      </c>
      <c r="AD414" s="1">
        <f ca="1">SUMIF(H338:AD407,N414,AD338:AD407)</f>
        <v>42</v>
      </c>
      <c r="AE414" s="3">
        <f t="shared" ca="1" si="296"/>
        <v>0.10526315789473684</v>
      </c>
      <c r="AF414" s="1">
        <f ca="1">SUMIF(H338:AF407,N414,AF338:AF407)</f>
        <v>14</v>
      </c>
      <c r="AG414" s="1">
        <f ca="1">SUMIF(H338:AG407,N414,AG338:AG407)</f>
        <v>0</v>
      </c>
      <c r="AH414" s="1">
        <f ca="1">SUMIF(H338:AH407,N414,AH338:AH407)</f>
        <v>334</v>
      </c>
      <c r="AI414" s="3">
        <f t="shared" ca="1" si="297"/>
        <v>0.8721804511278195</v>
      </c>
      <c r="AJ414" s="1">
        <f ca="1">SUMIF(H338:AJ407,N414,AJ338:AJ407)</f>
        <v>7</v>
      </c>
      <c r="AK414" s="1">
        <f ca="1">SUMIF(H338:AK407,N414,AK338:AK407)</f>
        <v>2</v>
      </c>
      <c r="AL414" s="1">
        <f ca="1">SUMIF(H338:AL407,N414,AL338:AL407)</f>
        <v>0</v>
      </c>
      <c r="AM414" s="3">
        <f t="shared" ca="1" si="298"/>
        <v>2.2556390977443608E-2</v>
      </c>
    </row>
    <row r="415" spans="2:39" x14ac:dyDescent="0.35">
      <c r="J415" t="str">
        <f t="shared" ca="1" si="292"/>
        <v>Apr 2026-RGN-5</v>
      </c>
      <c r="N415" t="s">
        <v>210</v>
      </c>
      <c r="O415" t="str">
        <f t="shared" ca="1" si="293"/>
        <v>RGN-5</v>
      </c>
      <c r="P415">
        <f ca="1">COUNTIFS(T409:T417,T415,Q409:Q417,"&lt;"&amp;Q415)+1</f>
        <v>5</v>
      </c>
      <c r="Q415">
        <f t="shared" ca="1" si="294"/>
        <v>5.0599999999999996</v>
      </c>
      <c r="R415">
        <f>COUNTIFS(T409:T417,T415,V409:V417,"&lt;"&amp;V415)+1</f>
        <v>6</v>
      </c>
      <c r="S415">
        <f ca="1">COUNTIFS(T409:T417,T415,Y409:Y417,"&gt;"&amp;Y415)+1</f>
        <v>5</v>
      </c>
      <c r="T415" t="s">
        <v>205</v>
      </c>
      <c r="V415" t="s">
        <v>210</v>
      </c>
      <c r="W415" s="1">
        <f ca="1">SUMIF(H338:W407,N415,W338:W407)</f>
        <v>238</v>
      </c>
      <c r="X415" s="1">
        <f ca="1">SUMIF(H338:X407,N415,X338:X407)</f>
        <v>3</v>
      </c>
      <c r="Y415" s="3">
        <f t="shared" ca="1" si="295"/>
        <v>1.2605042016806723E-2</v>
      </c>
      <c r="Z415" s="1">
        <f ca="1">SUMIF(H338:Z407,N415,Z338:Z407)</f>
        <v>1</v>
      </c>
      <c r="AA415" s="1">
        <f ca="1">SUMIF(H338:AA407,N415,AA338:AA407)</f>
        <v>3</v>
      </c>
      <c r="AB415" s="1">
        <f ca="1">SUMIF(H338:AB407,N415,AB338:AB407)</f>
        <v>0</v>
      </c>
      <c r="AC415" s="1">
        <f ca="1">SUMIF(H338:AC407,N415,AC338:AC407)</f>
        <v>3</v>
      </c>
      <c r="AD415" s="1">
        <f ca="1">SUMIF(H338:AD407,N415,AD338:AD407)</f>
        <v>7</v>
      </c>
      <c r="AE415" s="3">
        <f t="shared" ca="1" si="296"/>
        <v>2.9411764705882353E-2</v>
      </c>
      <c r="AF415" s="1">
        <f ca="1">SUMIF(H338:AF407,N415,AF338:AF407)</f>
        <v>5</v>
      </c>
      <c r="AG415" s="1">
        <f ca="1">SUMIF(H338:AG407,N415,AG338:AG407)</f>
        <v>0</v>
      </c>
      <c r="AH415" s="1">
        <f ca="1">SUMIF(H338:AH407,N415,AH338:AH407)</f>
        <v>226</v>
      </c>
      <c r="AI415" s="3">
        <f t="shared" ca="1" si="297"/>
        <v>0.97058823529411764</v>
      </c>
      <c r="AJ415" s="1">
        <f ca="1">SUMIF(H338:AJ407,N415,AJ338:AJ407)</f>
        <v>0</v>
      </c>
      <c r="AK415" s="1">
        <f ca="1">SUMIF(H338:AK407,N415,AK338:AK407)</f>
        <v>0</v>
      </c>
      <c r="AL415" s="1">
        <f ca="1">SUMIF(H338:AL407,N415,AL338:AL407)</f>
        <v>0</v>
      </c>
      <c r="AM415" s="3">
        <f t="shared" ca="1" si="298"/>
        <v>0</v>
      </c>
    </row>
    <row r="416" spans="2:39" x14ac:dyDescent="0.35">
      <c r="J416" t="str">
        <f t="shared" ca="1" si="292"/>
        <v>Apr 2026-RGN-3</v>
      </c>
      <c r="N416" t="s">
        <v>211</v>
      </c>
      <c r="O416" t="str">
        <f t="shared" ca="1" si="293"/>
        <v>RGN-3</v>
      </c>
      <c r="P416">
        <f ca="1">COUNTIFS(T409:T417,T416,Q409:Q417,"&lt;"&amp;Q416)+1</f>
        <v>3</v>
      </c>
      <c r="Q416">
        <f t="shared" ca="1" si="294"/>
        <v>3.07</v>
      </c>
      <c r="R416">
        <f>COUNTIFS(T409:T417,T416,V409:V417,"&lt;"&amp;V416)+1</f>
        <v>7</v>
      </c>
      <c r="S416">
        <f ca="1">COUNTIFS(T409:T417,T416,Y409:Y417,"&gt;"&amp;Y416)+1</f>
        <v>3</v>
      </c>
      <c r="T416" t="s">
        <v>205</v>
      </c>
      <c r="V416" t="s">
        <v>211</v>
      </c>
      <c r="W416" s="1">
        <f ca="1">SUMIF(H338:W407,N416,W338:W407)</f>
        <v>127</v>
      </c>
      <c r="X416" s="1">
        <f ca="1">SUMIF(H338:X407,N416,X338:X407)</f>
        <v>6</v>
      </c>
      <c r="Y416" s="3">
        <f t="shared" ca="1" si="295"/>
        <v>4.7244094488188976E-2</v>
      </c>
      <c r="Z416" s="1">
        <f ca="1">SUMIF(H338:Z407,N416,Z338:Z407)</f>
        <v>0</v>
      </c>
      <c r="AA416" s="1">
        <f ca="1">SUMIF(H338:AA407,N416,AA338:AA407)</f>
        <v>6</v>
      </c>
      <c r="AB416" s="1">
        <f ca="1">SUMIF(H338:AB407,N416,AB338:AB407)</f>
        <v>0</v>
      </c>
      <c r="AC416" s="1">
        <f ca="1">SUMIF(H338:AC407,N416,AC338:AC407)</f>
        <v>1</v>
      </c>
      <c r="AD416" s="1">
        <f ca="1">SUMIF(H338:AD407,N416,AD338:AD407)</f>
        <v>7</v>
      </c>
      <c r="AE416" s="3">
        <f t="shared" ca="1" si="296"/>
        <v>5.5118110236220472E-2</v>
      </c>
      <c r="AF416" s="1">
        <f ca="1">SUMIF(H338:AF407,N416,AF338:AF407)</f>
        <v>29</v>
      </c>
      <c r="AG416" s="1">
        <f ca="1">SUMIF(H338:AG407,N416,AG338:AG407)</f>
        <v>0</v>
      </c>
      <c r="AH416" s="1">
        <f ca="1">SUMIF(H338:AH407,N416,AH338:AH407)</f>
        <v>91</v>
      </c>
      <c r="AI416" s="3">
        <f t="shared" ca="1" si="297"/>
        <v>0.94488188976377951</v>
      </c>
      <c r="AJ416" s="1">
        <f ca="1">SUMIF(H338:AJ407,N416,AJ338:AJ407)</f>
        <v>0</v>
      </c>
      <c r="AK416" s="1">
        <f ca="1">SUMIF(H338:AK407,N416,AK338:AK407)</f>
        <v>0</v>
      </c>
      <c r="AL416" s="1">
        <f ca="1">SUMIF(H338:AL407,N416,AL338:AL407)</f>
        <v>0</v>
      </c>
      <c r="AM416" s="3">
        <f t="shared" ca="1" si="298"/>
        <v>0</v>
      </c>
    </row>
    <row r="417" spans="1:39" x14ac:dyDescent="0.35">
      <c r="J417" t="str">
        <f t="shared" ca="1" si="292"/>
        <v>Apr 2026-RGN-1</v>
      </c>
      <c r="N417" t="s">
        <v>212</v>
      </c>
      <c r="O417" t="str">
        <f t="shared" ca="1" si="293"/>
        <v>RGN-1</v>
      </c>
      <c r="P417">
        <f ca="1">COUNTIFS(T409:T417,T417,Q409:Q417,"&lt;"&amp;Q417)+1</f>
        <v>1</v>
      </c>
      <c r="Q417">
        <f t="shared" ca="1" si="294"/>
        <v>1.08</v>
      </c>
      <c r="R417">
        <f>COUNTIFS(T409:T417,T417,V409:V417,"&lt;"&amp;V417)+1</f>
        <v>8</v>
      </c>
      <c r="S417">
        <f ca="1">COUNTIFS(T409:T417,T417,Y409:Y417,"&gt;"&amp;Y417)+1</f>
        <v>1</v>
      </c>
      <c r="T417" t="s">
        <v>205</v>
      </c>
      <c r="V417" t="s">
        <v>212</v>
      </c>
      <c r="W417" s="1">
        <f ca="1">SUMIF(H338:W407,N417,W338:W407)</f>
        <v>27</v>
      </c>
      <c r="X417" s="1">
        <f ca="1">SUMIF(H338:X407,N417,X338:X407)</f>
        <v>6</v>
      </c>
      <c r="Y417" s="3">
        <f t="shared" ca="1" si="295"/>
        <v>0.22222222222222221</v>
      </c>
      <c r="Z417" s="1">
        <f ca="1">SUMIF(H338:Z407,N417,Z338:Z407)</f>
        <v>0</v>
      </c>
      <c r="AA417" s="1">
        <f ca="1">SUMIF(H338:AA407,N417,AA338:AA407)</f>
        <v>6</v>
      </c>
      <c r="AB417" s="1">
        <f ca="1">SUMIF(H338:AB407,N417,AB338:AB407)</f>
        <v>0</v>
      </c>
      <c r="AC417" s="1">
        <f ca="1">SUMIF(H338:AC407,N417,AC338:AC407)</f>
        <v>1</v>
      </c>
      <c r="AD417" s="1">
        <f ca="1">SUMIF(H338:AD407,N417,AD338:AD407)</f>
        <v>7</v>
      </c>
      <c r="AE417" s="3">
        <f t="shared" ca="1" si="296"/>
        <v>0.25925925925925924</v>
      </c>
      <c r="AF417" s="1">
        <f ca="1">SUMIF(H338:AF407,N417,AF338:AF407)</f>
        <v>19</v>
      </c>
      <c r="AG417" s="1">
        <f ca="1">SUMIF(H338:AG407,N417,AG338:AG407)</f>
        <v>0</v>
      </c>
      <c r="AH417" s="1">
        <f ca="1">SUMIF(H338:AH407,N417,AH338:AH407)</f>
        <v>0</v>
      </c>
      <c r="AI417" s="3">
        <f t="shared" ca="1" si="297"/>
        <v>0.70370370370370372</v>
      </c>
      <c r="AJ417" s="1">
        <f ca="1">SUMIF(H338:AJ407,N417,AJ338:AJ407)</f>
        <v>0</v>
      </c>
      <c r="AK417" s="1">
        <f ca="1">SUMIF(H338:AK407,N417,AK338:AK407)</f>
        <v>1</v>
      </c>
      <c r="AL417" s="1">
        <f ca="1">SUMIF(H338:AL407,N417,AL338:AL407)</f>
        <v>0</v>
      </c>
      <c r="AM417" s="3">
        <f t="shared" ca="1" si="298"/>
        <v>3.7037037037037035E-2</v>
      </c>
    </row>
    <row r="420" spans="1:39" ht="16" customHeight="1" x14ac:dyDescent="0.35">
      <c r="A420" s="2"/>
      <c r="B420" s="2"/>
      <c r="C420" s="107" t="str">
        <f>AB1</f>
        <v>May 2026</v>
      </c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</row>
    <row r="421" spans="1:39" x14ac:dyDescent="0.35">
      <c r="A421" s="2"/>
      <c r="B421" s="2" t="s">
        <v>128</v>
      </c>
      <c r="C421" s="2" t="s">
        <v>128</v>
      </c>
      <c r="D421" s="2"/>
      <c r="E421" s="2"/>
      <c r="F421" s="2"/>
      <c r="G421" s="2"/>
      <c r="H421" s="2"/>
      <c r="I421" s="2" t="s">
        <v>129</v>
      </c>
      <c r="J421" s="2"/>
      <c r="K421" s="2"/>
      <c r="L421" s="2"/>
      <c r="M421" s="2"/>
      <c r="N421" s="2"/>
      <c r="O421" s="2" t="s">
        <v>130</v>
      </c>
      <c r="P421" s="2"/>
      <c r="Q421" s="2"/>
      <c r="R421" s="2"/>
      <c r="S421" s="2"/>
      <c r="T421" s="2"/>
      <c r="U421" s="2"/>
      <c r="V421" s="2" t="s">
        <v>100</v>
      </c>
      <c r="W421" s="2" t="s">
        <v>131</v>
      </c>
      <c r="X421" s="2" t="s">
        <v>132</v>
      </c>
      <c r="Y421" s="2" t="s">
        <v>133</v>
      </c>
      <c r="Z421" s="2" t="s">
        <v>134</v>
      </c>
      <c r="AA421" s="2" t="s">
        <v>132</v>
      </c>
      <c r="AB421" s="2" t="s">
        <v>135</v>
      </c>
      <c r="AC421" s="2" t="s">
        <v>136</v>
      </c>
      <c r="AD421" s="2" t="s">
        <v>137</v>
      </c>
      <c r="AE421" s="2" t="s">
        <v>138</v>
      </c>
      <c r="AF421" s="2" t="s">
        <v>139</v>
      </c>
      <c r="AG421" s="2" t="s">
        <v>140</v>
      </c>
      <c r="AH421" s="2" t="s">
        <v>15</v>
      </c>
      <c r="AI421" s="2" t="s">
        <v>141</v>
      </c>
      <c r="AJ421" s="2" t="s">
        <v>142</v>
      </c>
      <c r="AK421" s="2" t="s">
        <v>143</v>
      </c>
      <c r="AL421" s="2" t="s">
        <v>144</v>
      </c>
      <c r="AM421" s="2" t="s">
        <v>145</v>
      </c>
    </row>
    <row r="422" spans="1:39" x14ac:dyDescent="0.35">
      <c r="B422" t="str">
        <f>IF(V422="","",H422&amp;"-"&amp;D422)</f>
        <v>Arizona-2</v>
      </c>
      <c r="C422" t="str">
        <f>IF(V422="","",$W$1&amp;"-"&amp;B422)</f>
        <v>Dec 2025-Arizona-2</v>
      </c>
      <c r="D422">
        <f t="shared" ref="D422:D435" si="299">IF(V422="","",COUNTIFS($H$422:$H$492,H422,$E$422:$E$492,"&lt;"&amp;E422)+1)</f>
        <v>2</v>
      </c>
      <c r="E422">
        <f>IF(V422="","",G422+(F422/100))</f>
        <v>2.0099999999999998</v>
      </c>
      <c r="F422">
        <f t="shared" ref="F422:F435" si="300">IF(V422="","",COUNTIFS($H$422:$H$492,H422,$V$422:$V$492,"&lt;"&amp;V422)+1)</f>
        <v>1</v>
      </c>
      <c r="G422">
        <f t="shared" ref="G422:G435" si="301">IF(V422="","",COUNTIFS($H$422:$H$492,H422,$Y$422:$Y$492,"&gt;"&amp;Y422)+1)</f>
        <v>2</v>
      </c>
      <c r="H422" t="str">
        <f>IF(V422="","",IFERROR(VLOOKUP(TRIM($V422),KEY!$B$2:$F$72,3,FALSE),""))</f>
        <v>Arizona</v>
      </c>
      <c r="I422" t="str">
        <f>IF(V422="","","WEST-"&amp;K422)</f>
        <v>WEST-6</v>
      </c>
      <c r="J422" t="str">
        <f>IF(V422="","",$AB$1&amp;"-"&amp;I422)</f>
        <v>May 2026-WEST-6</v>
      </c>
      <c r="K422">
        <f t="shared" ref="K422:K435" si="302">IFERROR(IF(V422="","",RANK(L422,$L$422:$L$492,1)),"-")</f>
        <v>6</v>
      </c>
      <c r="L422">
        <f>IFERROR(IF(V422="","",N422+(M422/100)),"-")</f>
        <v>6.01</v>
      </c>
      <c r="M422">
        <f>IF(V422="","",IFERROR(VLOOKUP(TRIM($V422),KEY!$B$2:$F$72,5,FALSE),""))</f>
        <v>1</v>
      </c>
      <c r="N422">
        <f t="shared" ref="N422:N435" si="303">IFERROR(IF(V422="","",RANK(Y422,$Y$422:$Y$492)),"-")</f>
        <v>6</v>
      </c>
      <c r="O422" t="str">
        <f>IF(V422="","",T422&amp;"-"&amp;P422)</f>
        <v>Acura-1</v>
      </c>
      <c r="P422">
        <f>IF(OR(V422="",Q422=""),"",COUNTIFS($T$4:$T$74,T422,$Q$4:$Q$74,"&lt;"&amp;Q422)+1)</f>
        <v>1</v>
      </c>
      <c r="Q422">
        <f>IF(OR(V422="",W422=0),"",S422+(R422/100))</f>
        <v>1.01</v>
      </c>
      <c r="R422">
        <f t="shared" ref="R422:R435" si="304">IF(V422="","",COUNTIFS($T$422:$T$492,T422,$V$422:$V$492,"&lt;"&amp;V422)+1)</f>
        <v>1</v>
      </c>
      <c r="S422">
        <f t="shared" ref="S422:S435" si="305">IF(V422="","",COUNTIFS($T$422:$T$492,T422,$Y$422:$Y$492,"&gt;"&amp;Y422)+1)</f>
        <v>1</v>
      </c>
      <c r="T422" t="str">
        <f>IF(V422="","",IFERROR(VLOOKUP(TRIM($V422),KEY!$B$2:$F$72,2,FALSE),""))</f>
        <v>Acura</v>
      </c>
      <c r="V422" s="80" t="s">
        <v>146</v>
      </c>
      <c r="W422" s="80">
        <v>21</v>
      </c>
      <c r="X422" s="80">
        <v>2</v>
      </c>
      <c r="Y422" s="80">
        <v>10</v>
      </c>
      <c r="Z422" s="80">
        <v>0</v>
      </c>
      <c r="AA422" s="80">
        <v>2</v>
      </c>
      <c r="AB422" s="80">
        <v>0</v>
      </c>
      <c r="AC422" s="80">
        <v>0</v>
      </c>
      <c r="AD422" s="80">
        <v>2</v>
      </c>
      <c r="AE422" s="80">
        <v>10</v>
      </c>
      <c r="AF422" s="80">
        <v>0</v>
      </c>
      <c r="AG422" s="80">
        <v>0</v>
      </c>
      <c r="AH422" s="80">
        <v>19</v>
      </c>
      <c r="AI422" s="80">
        <v>90</v>
      </c>
      <c r="AJ422" s="80">
        <v>0</v>
      </c>
      <c r="AK422" s="80">
        <v>0</v>
      </c>
      <c r="AL422" s="80">
        <v>0</v>
      </c>
      <c r="AM422" s="80">
        <v>0</v>
      </c>
    </row>
    <row r="423" spans="1:39" x14ac:dyDescent="0.35">
      <c r="B423" t="str">
        <f t="shared" ref="B423:B435" si="306">IF(V423="","",H423&amp;"-"&amp;D423)</f>
        <v>Arizona-14</v>
      </c>
      <c r="C423" t="str">
        <f t="shared" ref="C423:C435" si="307">IF(V423="","",$W$1&amp;"-"&amp;B423)</f>
        <v>Dec 2025-Arizona-14</v>
      </c>
      <c r="D423">
        <f t="shared" si="299"/>
        <v>14</v>
      </c>
      <c r="E423">
        <f t="shared" ref="E423:E435" si="308">IF(V423="","",G423+(F423/100))</f>
        <v>3.14</v>
      </c>
      <c r="F423">
        <f t="shared" si="300"/>
        <v>14</v>
      </c>
      <c r="G423">
        <f t="shared" si="301"/>
        <v>3</v>
      </c>
      <c r="H423" t="str">
        <f>IF(V423="","",IFERROR(VLOOKUP(TRIM($V423),KEY!$B$2:$F$72,3,FALSE),""))</f>
        <v>Arizona</v>
      </c>
      <c r="I423" t="str">
        <f t="shared" ref="I423:I435" si="309">IF(V423="","","WEST-"&amp;K423)</f>
        <v>WEST-54</v>
      </c>
      <c r="J423" t="str">
        <f t="shared" ref="J423:J435" si="310">IF(V423="","",$AB$1&amp;"-"&amp;I423)</f>
        <v>May 2026-WEST-54</v>
      </c>
      <c r="K423">
        <f t="shared" si="302"/>
        <v>54</v>
      </c>
      <c r="L423">
        <f t="shared" ref="L423:L435" si="311">IFERROR(IF(V423="","",N423+(M423/100)),"-")</f>
        <v>14.57</v>
      </c>
      <c r="M423">
        <f>IF(V423="","",IFERROR(VLOOKUP(TRIM($V423),KEY!$B$2:$F$72,5,FALSE),""))</f>
        <v>57</v>
      </c>
      <c r="N423">
        <f t="shared" si="303"/>
        <v>14</v>
      </c>
      <c r="O423" t="str">
        <f t="shared" ref="O423:O435" si="312">IF(V423="","",T423&amp;"-"&amp;P423)</f>
        <v>Honda-2</v>
      </c>
      <c r="P423">
        <f t="shared" ref="P423:P435" si="313">IF(OR(V423="",Q423=""),"",COUNTIFS($T$4:$T$74,T423,$Q$4:$Q$74,"&lt;"&amp;Q423)+1)</f>
        <v>2</v>
      </c>
      <c r="Q423">
        <f t="shared" ref="Q423:Q435" si="314">IF(OR(V423="",W423=0),"",S423+(R423/100))</f>
        <v>1.07</v>
      </c>
      <c r="R423">
        <f t="shared" si="304"/>
        <v>7</v>
      </c>
      <c r="S423">
        <f t="shared" si="305"/>
        <v>1</v>
      </c>
      <c r="T423" t="str">
        <f>IF(V423="","",IFERROR(VLOOKUP(TRIM($V423),KEY!$B$2:$F$72,2,FALSE),""))</f>
        <v>Honda</v>
      </c>
      <c r="V423" s="80" t="s">
        <v>147</v>
      </c>
      <c r="W423" s="80">
        <v>38</v>
      </c>
      <c r="X423" s="80">
        <v>0</v>
      </c>
      <c r="Y423" s="80">
        <v>0</v>
      </c>
      <c r="Z423" s="80">
        <v>0</v>
      </c>
      <c r="AA423" s="80">
        <v>0</v>
      </c>
      <c r="AB423" s="80">
        <v>0</v>
      </c>
      <c r="AC423" s="80">
        <v>0</v>
      </c>
      <c r="AD423" s="80">
        <v>0</v>
      </c>
      <c r="AE423" s="80">
        <v>0</v>
      </c>
      <c r="AF423" s="80">
        <v>0</v>
      </c>
      <c r="AG423" s="80">
        <v>0</v>
      </c>
      <c r="AH423" s="80">
        <v>38</v>
      </c>
      <c r="AI423" s="80">
        <v>100</v>
      </c>
      <c r="AJ423" s="80">
        <v>0</v>
      </c>
      <c r="AK423" s="80">
        <v>0</v>
      </c>
      <c r="AL423" s="80">
        <v>0</v>
      </c>
      <c r="AM423" s="80">
        <v>0</v>
      </c>
    </row>
    <row r="424" spans="1:39" x14ac:dyDescent="0.35">
      <c r="B424" t="str">
        <f t="shared" si="306"/>
        <v>Arizona-16</v>
      </c>
      <c r="C424" t="str">
        <f t="shared" si="307"/>
        <v>Dec 2025-Arizona-16</v>
      </c>
      <c r="D424">
        <f t="shared" si="299"/>
        <v>16</v>
      </c>
      <c r="E424">
        <f t="shared" si="308"/>
        <v>3.16</v>
      </c>
      <c r="F424">
        <f t="shared" si="300"/>
        <v>16</v>
      </c>
      <c r="G424">
        <f t="shared" si="301"/>
        <v>3</v>
      </c>
      <c r="H424" t="str">
        <f>IF(V424="","",IFERROR(VLOOKUP(TRIM($V424),KEY!$B$2:$F$72,3,FALSE),""))</f>
        <v>Arizona</v>
      </c>
      <c r="I424" t="str">
        <f t="shared" si="309"/>
        <v>WEST-57</v>
      </c>
      <c r="J424" t="str">
        <f t="shared" si="310"/>
        <v>May 2026-WEST-57</v>
      </c>
      <c r="K424">
        <f t="shared" si="302"/>
        <v>57</v>
      </c>
      <c r="L424">
        <f t="shared" si="311"/>
        <v>14.61</v>
      </c>
      <c r="M424">
        <f>IF(V424="","",IFERROR(VLOOKUP(TRIM($V424),KEY!$B$2:$F$72,5,FALSE),""))</f>
        <v>61</v>
      </c>
      <c r="N424">
        <f t="shared" si="303"/>
        <v>14</v>
      </c>
      <c r="O424" t="str">
        <f t="shared" si="312"/>
        <v>Volkswagen-2</v>
      </c>
      <c r="P424">
        <f t="shared" si="313"/>
        <v>2</v>
      </c>
      <c r="Q424">
        <f t="shared" si="314"/>
        <v>2.0099999999999998</v>
      </c>
      <c r="R424">
        <f t="shared" si="304"/>
        <v>1</v>
      </c>
      <c r="S424">
        <f t="shared" si="305"/>
        <v>2</v>
      </c>
      <c r="T424" t="str">
        <f>IF(V424="","",IFERROR(VLOOKUP(TRIM($V424),KEY!$B$2:$F$72,2,FALSE),""))</f>
        <v>Volkswagen</v>
      </c>
      <c r="V424" s="80" t="s">
        <v>151</v>
      </c>
      <c r="W424" s="80">
        <v>13</v>
      </c>
      <c r="X424" s="80">
        <v>0</v>
      </c>
      <c r="Y424" s="80">
        <v>0</v>
      </c>
      <c r="Z424" s="80">
        <v>0</v>
      </c>
      <c r="AA424" s="80">
        <v>0</v>
      </c>
      <c r="AB424" s="80">
        <v>0</v>
      </c>
      <c r="AC424" s="80">
        <v>0</v>
      </c>
      <c r="AD424" s="80">
        <v>0</v>
      </c>
      <c r="AE424" s="80">
        <v>0</v>
      </c>
      <c r="AF424" s="80">
        <v>0</v>
      </c>
      <c r="AG424" s="80">
        <v>0</v>
      </c>
      <c r="AH424" s="80">
        <v>13</v>
      </c>
      <c r="AI424" s="80">
        <v>100</v>
      </c>
      <c r="AJ424" s="80">
        <v>0</v>
      </c>
      <c r="AK424" s="80">
        <v>0</v>
      </c>
      <c r="AL424" s="80">
        <v>0</v>
      </c>
      <c r="AM424" s="80">
        <v>0</v>
      </c>
    </row>
    <row r="425" spans="1:39" x14ac:dyDescent="0.35">
      <c r="B425" t="str">
        <f t="shared" si="306"/>
        <v>Arizona-6</v>
      </c>
      <c r="C425" t="str">
        <f t="shared" si="307"/>
        <v>Dec 2025-Arizona-6</v>
      </c>
      <c r="D425">
        <f t="shared" si="299"/>
        <v>6</v>
      </c>
      <c r="E425">
        <f t="shared" si="308"/>
        <v>3.05</v>
      </c>
      <c r="F425">
        <f t="shared" si="300"/>
        <v>5</v>
      </c>
      <c r="G425">
        <f t="shared" si="301"/>
        <v>3</v>
      </c>
      <c r="H425" t="str">
        <f>IF(V425="","",IFERROR(VLOOKUP(TRIM($V425),KEY!$B$2:$F$72,3,FALSE),""))</f>
        <v>Arizona</v>
      </c>
      <c r="I425" t="str">
        <f t="shared" si="309"/>
        <v>WEST-20</v>
      </c>
      <c r="J425" t="str">
        <f t="shared" si="310"/>
        <v>May 2026-WEST-20</v>
      </c>
      <c r="K425">
        <f t="shared" si="302"/>
        <v>20</v>
      </c>
      <c r="L425">
        <f t="shared" si="311"/>
        <v>14.11</v>
      </c>
      <c r="M425">
        <f>IF(V425="","",IFERROR(VLOOKUP(TRIM($V425),KEY!$B$2:$F$72,5,FALSE),""))</f>
        <v>11</v>
      </c>
      <c r="N425">
        <f t="shared" si="303"/>
        <v>14</v>
      </c>
      <c r="O425" t="str">
        <f t="shared" si="312"/>
        <v>BMW-6</v>
      </c>
      <c r="P425">
        <f t="shared" si="313"/>
        <v>6</v>
      </c>
      <c r="Q425">
        <f t="shared" si="314"/>
        <v>6.01</v>
      </c>
      <c r="R425">
        <f t="shared" si="304"/>
        <v>1</v>
      </c>
      <c r="S425">
        <f t="shared" si="305"/>
        <v>6</v>
      </c>
      <c r="T425" t="str">
        <f>IF(V425="","",IFERROR(VLOOKUP(TRIM($V425),KEY!$B$2:$F$72,2,FALSE),""))</f>
        <v>BMW</v>
      </c>
      <c r="V425" s="80" t="s">
        <v>150</v>
      </c>
      <c r="W425" s="80">
        <v>40</v>
      </c>
      <c r="X425" s="80">
        <v>0</v>
      </c>
      <c r="Y425" s="80">
        <v>0</v>
      </c>
      <c r="Z425" s="80">
        <v>0</v>
      </c>
      <c r="AA425" s="80">
        <v>0</v>
      </c>
      <c r="AB425" s="80">
        <v>0</v>
      </c>
      <c r="AC425" s="80">
        <v>0</v>
      </c>
      <c r="AD425" s="80">
        <v>0</v>
      </c>
      <c r="AE425" s="80">
        <v>0</v>
      </c>
      <c r="AF425" s="80">
        <v>0</v>
      </c>
      <c r="AG425" s="80">
        <v>0</v>
      </c>
      <c r="AH425" s="80">
        <v>40</v>
      </c>
      <c r="AI425" s="80">
        <v>100</v>
      </c>
      <c r="AJ425" s="80">
        <v>0</v>
      </c>
      <c r="AK425" s="80">
        <v>0</v>
      </c>
      <c r="AL425" s="80">
        <v>0</v>
      </c>
      <c r="AM425" s="80">
        <v>0</v>
      </c>
    </row>
    <row r="426" spans="1:39" x14ac:dyDescent="0.35">
      <c r="B426" t="str">
        <f t="shared" si="306"/>
        <v>Arizona-15</v>
      </c>
      <c r="C426" t="str">
        <f t="shared" si="307"/>
        <v>Dec 2025-Arizona-15</v>
      </c>
      <c r="D426">
        <f t="shared" si="299"/>
        <v>15</v>
      </c>
      <c r="E426">
        <f t="shared" si="308"/>
        <v>3.15</v>
      </c>
      <c r="F426">
        <f t="shared" si="300"/>
        <v>15</v>
      </c>
      <c r="G426">
        <f t="shared" si="301"/>
        <v>3</v>
      </c>
      <c r="H426" t="str">
        <f>IF(V426="","",IFERROR(VLOOKUP(TRIM($V426),KEY!$B$2:$F$72,3,FALSE),""))</f>
        <v>Arizona</v>
      </c>
      <c r="I426" t="str">
        <f t="shared" si="309"/>
        <v>WEST-56</v>
      </c>
      <c r="J426" t="str">
        <f t="shared" si="310"/>
        <v>May 2026-WEST-56</v>
      </c>
      <c r="K426">
        <f t="shared" si="302"/>
        <v>56</v>
      </c>
      <c r="L426">
        <f t="shared" si="311"/>
        <v>14.6</v>
      </c>
      <c r="M426">
        <f>IF(V426="","",IFERROR(VLOOKUP(TRIM($V426),KEY!$B$2:$F$72,5,FALSE),""))</f>
        <v>60</v>
      </c>
      <c r="N426">
        <f t="shared" si="303"/>
        <v>14</v>
      </c>
      <c r="O426" t="str">
        <f t="shared" si="312"/>
        <v>Toyota-3</v>
      </c>
      <c r="P426">
        <f t="shared" si="313"/>
        <v>3</v>
      </c>
      <c r="Q426">
        <f t="shared" si="314"/>
        <v>2.0499999999999998</v>
      </c>
      <c r="R426">
        <f t="shared" si="304"/>
        <v>5</v>
      </c>
      <c r="S426">
        <f t="shared" si="305"/>
        <v>2</v>
      </c>
      <c r="T426" t="str">
        <f>IF(V426="","",IFERROR(VLOOKUP(TRIM($V426),KEY!$B$2:$F$72,2,FALSE),""))</f>
        <v>Toyota</v>
      </c>
      <c r="V426" s="80" t="s">
        <v>149</v>
      </c>
      <c r="W426" s="80">
        <v>11</v>
      </c>
      <c r="X426" s="80">
        <v>0</v>
      </c>
      <c r="Y426" s="80">
        <v>0</v>
      </c>
      <c r="Z426" s="80">
        <v>0</v>
      </c>
      <c r="AA426" s="80">
        <v>0</v>
      </c>
      <c r="AB426" s="80">
        <v>0</v>
      </c>
      <c r="AC426" s="80">
        <v>0</v>
      </c>
      <c r="AD426" s="80">
        <v>0</v>
      </c>
      <c r="AE426" s="80">
        <v>0</v>
      </c>
      <c r="AF426" s="80">
        <v>0</v>
      </c>
      <c r="AG426" s="80">
        <v>0</v>
      </c>
      <c r="AH426" s="80">
        <v>11</v>
      </c>
      <c r="AI426" s="80">
        <v>100</v>
      </c>
      <c r="AJ426" s="80">
        <v>0</v>
      </c>
      <c r="AK426" s="80">
        <v>0</v>
      </c>
      <c r="AL426" s="80">
        <v>0</v>
      </c>
      <c r="AM426" s="80">
        <v>0</v>
      </c>
    </row>
    <row r="427" spans="1:39" x14ac:dyDescent="0.35">
      <c r="B427" t="str">
        <f t="shared" si="306"/>
        <v>Arizona-10</v>
      </c>
      <c r="C427" t="str">
        <f t="shared" si="307"/>
        <v>Dec 2025-Arizona-10</v>
      </c>
      <c r="D427">
        <f t="shared" si="299"/>
        <v>10</v>
      </c>
      <c r="E427">
        <f t="shared" si="308"/>
        <v>3.1</v>
      </c>
      <c r="F427">
        <f t="shared" si="300"/>
        <v>10</v>
      </c>
      <c r="G427">
        <f t="shared" si="301"/>
        <v>3</v>
      </c>
      <c r="H427" t="str">
        <f>IF(V427="","",IFERROR(VLOOKUP(TRIM($V427),KEY!$B$2:$F$72,3,FALSE),""))</f>
        <v>Arizona</v>
      </c>
      <c r="I427" t="str">
        <f t="shared" si="309"/>
        <v>WEST-38</v>
      </c>
      <c r="J427" t="str">
        <f t="shared" si="310"/>
        <v>May 2026-WEST-38</v>
      </c>
      <c r="K427">
        <f t="shared" si="302"/>
        <v>38</v>
      </c>
      <c r="L427">
        <f t="shared" si="311"/>
        <v>14.37</v>
      </c>
      <c r="M427">
        <f>IF(V427="","",IFERROR(VLOOKUP(TRIM($V427),KEY!$B$2:$F$72,5,FALSE),""))</f>
        <v>37</v>
      </c>
      <c r="N427">
        <f t="shared" si="303"/>
        <v>14</v>
      </c>
      <c r="O427" t="str">
        <f t="shared" si="312"/>
        <v>Mercedes-Benz-2</v>
      </c>
      <c r="P427">
        <f t="shared" si="313"/>
        <v>2</v>
      </c>
      <c r="Q427">
        <f t="shared" si="314"/>
        <v>2.02</v>
      </c>
      <c r="R427">
        <f t="shared" si="304"/>
        <v>2</v>
      </c>
      <c r="S427">
        <f t="shared" si="305"/>
        <v>2</v>
      </c>
      <c r="T427" t="str">
        <f>IF(V427="","",IFERROR(VLOOKUP(TRIM($V427),KEY!$B$2:$F$72,2,FALSE),""))</f>
        <v>Mercedes-Benz</v>
      </c>
      <c r="V427" s="80" t="s">
        <v>153</v>
      </c>
      <c r="W427" s="80">
        <v>12</v>
      </c>
      <c r="X427" s="80">
        <v>0</v>
      </c>
      <c r="Y427" s="80">
        <v>0</v>
      </c>
      <c r="Z427" s="80">
        <v>0</v>
      </c>
      <c r="AA427" s="80">
        <v>0</v>
      </c>
      <c r="AB427" s="80">
        <v>0</v>
      </c>
      <c r="AC427" s="80">
        <v>0</v>
      </c>
      <c r="AD427" s="80">
        <v>0</v>
      </c>
      <c r="AE427" s="80">
        <v>0</v>
      </c>
      <c r="AF427" s="80">
        <v>0</v>
      </c>
      <c r="AG427" s="80">
        <v>0</v>
      </c>
      <c r="AH427" s="80">
        <v>12</v>
      </c>
      <c r="AI427" s="80">
        <v>100</v>
      </c>
      <c r="AJ427" s="80">
        <v>0</v>
      </c>
      <c r="AK427" s="80">
        <v>0</v>
      </c>
      <c r="AL427" s="80">
        <v>0</v>
      </c>
      <c r="AM427" s="80">
        <v>0</v>
      </c>
    </row>
    <row r="428" spans="1:39" x14ac:dyDescent="0.35">
      <c r="B428" t="str">
        <f t="shared" si="306"/>
        <v>Arizona-8</v>
      </c>
      <c r="C428" t="str">
        <f t="shared" si="307"/>
        <v>Dec 2025-Arizona-8</v>
      </c>
      <c r="D428">
        <f t="shared" si="299"/>
        <v>8</v>
      </c>
      <c r="E428">
        <f t="shared" si="308"/>
        <v>3.08</v>
      </c>
      <c r="F428">
        <f t="shared" si="300"/>
        <v>8</v>
      </c>
      <c r="G428">
        <f t="shared" si="301"/>
        <v>3</v>
      </c>
      <c r="H428" t="str">
        <f>IF(V428="","",IFERROR(VLOOKUP(TRIM($V428),KEY!$B$2:$F$72,3,FALSE),""))</f>
        <v>Arizona</v>
      </c>
      <c r="I428" t="str">
        <f t="shared" si="309"/>
        <v>WEST-32</v>
      </c>
      <c r="J428" t="str">
        <f t="shared" si="310"/>
        <v>May 2026-WEST-32</v>
      </c>
      <c r="K428">
        <f t="shared" si="302"/>
        <v>32</v>
      </c>
      <c r="L428">
        <f t="shared" si="311"/>
        <v>14.31</v>
      </c>
      <c r="M428">
        <f>IF(V428="","",IFERROR(VLOOKUP(TRIM($V428),KEY!$B$2:$F$72,5,FALSE),""))</f>
        <v>31</v>
      </c>
      <c r="N428">
        <f t="shared" si="303"/>
        <v>14</v>
      </c>
      <c r="O428" t="str">
        <f t="shared" si="312"/>
        <v>Lexus-1</v>
      </c>
      <c r="P428">
        <f t="shared" si="313"/>
        <v>1</v>
      </c>
      <c r="Q428">
        <f t="shared" si="314"/>
        <v>1.02</v>
      </c>
      <c r="R428">
        <f t="shared" si="304"/>
        <v>2</v>
      </c>
      <c r="S428">
        <f t="shared" si="305"/>
        <v>1</v>
      </c>
      <c r="T428" t="str">
        <f>IF(V428="","",IFERROR(VLOOKUP(TRIM($V428),KEY!$B$2:$F$72,2,FALSE),""))</f>
        <v>Lexus</v>
      </c>
      <c r="V428" s="80" t="s">
        <v>148</v>
      </c>
      <c r="W428" s="80">
        <v>4</v>
      </c>
      <c r="X428" s="80">
        <v>0</v>
      </c>
      <c r="Y428" s="80">
        <v>0</v>
      </c>
      <c r="Z428" s="80">
        <v>0</v>
      </c>
      <c r="AA428" s="80">
        <v>0</v>
      </c>
      <c r="AB428" s="80">
        <v>0</v>
      </c>
      <c r="AC428" s="80">
        <v>0</v>
      </c>
      <c r="AD428" s="80">
        <v>0</v>
      </c>
      <c r="AE428" s="80">
        <v>0</v>
      </c>
      <c r="AF428" s="80">
        <v>0</v>
      </c>
      <c r="AG428" s="80">
        <v>0</v>
      </c>
      <c r="AH428" s="80">
        <v>4</v>
      </c>
      <c r="AI428" s="80">
        <v>100</v>
      </c>
      <c r="AJ428" s="80">
        <v>0</v>
      </c>
      <c r="AK428" s="80">
        <v>0</v>
      </c>
      <c r="AL428" s="80">
        <v>0</v>
      </c>
      <c r="AM428" s="80">
        <v>0</v>
      </c>
    </row>
    <row r="429" spans="1:39" x14ac:dyDescent="0.35">
      <c r="B429" t="str">
        <f t="shared" si="306"/>
        <v>Arizona-1</v>
      </c>
      <c r="C429" t="str">
        <f t="shared" si="307"/>
        <v>Dec 2025-Arizona-1</v>
      </c>
      <c r="D429">
        <f t="shared" si="299"/>
        <v>1</v>
      </c>
      <c r="E429">
        <f t="shared" si="308"/>
        <v>1.07</v>
      </c>
      <c r="F429">
        <f t="shared" si="300"/>
        <v>7</v>
      </c>
      <c r="G429">
        <f t="shared" si="301"/>
        <v>1</v>
      </c>
      <c r="H429" t="str">
        <f>IF(V429="","",IFERROR(VLOOKUP(TRIM($V429),KEY!$B$2:$F$72,3,FALSE),""))</f>
        <v>Arizona</v>
      </c>
      <c r="I429" t="str">
        <f t="shared" si="309"/>
        <v>WEST-3</v>
      </c>
      <c r="J429" t="str">
        <f t="shared" si="310"/>
        <v>May 2026-WEST-3</v>
      </c>
      <c r="K429">
        <f t="shared" si="302"/>
        <v>3</v>
      </c>
      <c r="L429">
        <f t="shared" si="311"/>
        <v>3.29</v>
      </c>
      <c r="M429">
        <f>IF(V429="","",IFERROR(VLOOKUP(TRIM($V429),KEY!$B$2:$F$72,5,FALSE),""))</f>
        <v>29</v>
      </c>
      <c r="N429">
        <f t="shared" si="303"/>
        <v>3</v>
      </c>
      <c r="O429" t="str">
        <f t="shared" si="312"/>
        <v>LR-1</v>
      </c>
      <c r="P429">
        <f t="shared" si="313"/>
        <v>1</v>
      </c>
      <c r="Q429">
        <f t="shared" si="314"/>
        <v>1.01</v>
      </c>
      <c r="R429">
        <f t="shared" si="304"/>
        <v>1</v>
      </c>
      <c r="S429">
        <f t="shared" si="305"/>
        <v>1</v>
      </c>
      <c r="T429" t="str">
        <f>IF(V429="","",IFERROR(VLOOKUP(TRIM($V429),KEY!$B$2:$F$72,2,FALSE),""))</f>
        <v>LR</v>
      </c>
      <c r="V429" s="80" t="s">
        <v>154</v>
      </c>
      <c r="W429" s="80">
        <v>5</v>
      </c>
      <c r="X429" s="80">
        <v>1</v>
      </c>
      <c r="Y429" s="80">
        <v>20</v>
      </c>
      <c r="Z429" s="80">
        <v>0</v>
      </c>
      <c r="AA429" s="80">
        <v>1</v>
      </c>
      <c r="AB429" s="80">
        <v>0</v>
      </c>
      <c r="AC429" s="80">
        <v>0</v>
      </c>
      <c r="AD429" s="80">
        <v>1</v>
      </c>
      <c r="AE429" s="80">
        <v>20</v>
      </c>
      <c r="AF429" s="80">
        <v>0</v>
      </c>
      <c r="AG429" s="80">
        <v>0</v>
      </c>
      <c r="AH429" s="80">
        <v>4</v>
      </c>
      <c r="AI429" s="80">
        <v>80</v>
      </c>
      <c r="AJ429" s="80">
        <v>0</v>
      </c>
      <c r="AK429" s="80">
        <v>0</v>
      </c>
      <c r="AL429" s="80">
        <v>0</v>
      </c>
      <c r="AM429" s="80">
        <v>0</v>
      </c>
    </row>
    <row r="430" spans="1:39" x14ac:dyDescent="0.35">
      <c r="B430" t="str">
        <f t="shared" si="306"/>
        <v>Arizona-5</v>
      </c>
      <c r="C430" t="str">
        <f t="shared" si="307"/>
        <v>Dec 2025-Arizona-5</v>
      </c>
      <c r="D430">
        <f t="shared" si="299"/>
        <v>5</v>
      </c>
      <c r="E430">
        <f t="shared" si="308"/>
        <v>3.04</v>
      </c>
      <c r="F430">
        <f t="shared" si="300"/>
        <v>4</v>
      </c>
      <c r="G430">
        <f t="shared" si="301"/>
        <v>3</v>
      </c>
      <c r="H430" t="str">
        <f>IF(V430="","",IFERROR(VLOOKUP(TRIM($V430),KEY!$B$2:$F$72,3,FALSE),""))</f>
        <v>Arizona</v>
      </c>
      <c r="I430" t="str">
        <f t="shared" si="309"/>
        <v>WEST-19</v>
      </c>
      <c r="J430" t="str">
        <f t="shared" si="310"/>
        <v>May 2026-WEST-19</v>
      </c>
      <c r="K430">
        <f t="shared" si="302"/>
        <v>19</v>
      </c>
      <c r="L430">
        <f t="shared" si="311"/>
        <v>14.09</v>
      </c>
      <c r="M430">
        <f>IF(V430="","",IFERROR(VLOOKUP(TRIM($V430),KEY!$B$2:$F$72,5,FALSE),""))</f>
        <v>9</v>
      </c>
      <c r="N430">
        <f t="shared" si="303"/>
        <v>14</v>
      </c>
      <c r="O430" t="str">
        <f t="shared" si="312"/>
        <v>Ultra-1</v>
      </c>
      <c r="P430">
        <f t="shared" si="313"/>
        <v>1</v>
      </c>
      <c r="Q430">
        <f t="shared" si="314"/>
        <v>1.01</v>
      </c>
      <c r="R430">
        <f t="shared" si="304"/>
        <v>1</v>
      </c>
      <c r="S430">
        <f t="shared" si="305"/>
        <v>1</v>
      </c>
      <c r="T430" t="str">
        <f>IF(V430="","",IFERROR(VLOOKUP(TRIM($V430),KEY!$B$2:$F$72,2,FALSE),""))</f>
        <v>Ultra</v>
      </c>
      <c r="V430" s="80" t="s">
        <v>156</v>
      </c>
      <c r="W430" s="80">
        <v>2</v>
      </c>
      <c r="X430" s="80">
        <v>0</v>
      </c>
      <c r="Y430" s="80">
        <v>0</v>
      </c>
      <c r="Z430" s="80">
        <v>0</v>
      </c>
      <c r="AA430" s="80">
        <v>0</v>
      </c>
      <c r="AB430" s="80">
        <v>0</v>
      </c>
      <c r="AC430" s="80">
        <v>0</v>
      </c>
      <c r="AD430" s="80">
        <v>0</v>
      </c>
      <c r="AE430" s="80">
        <v>0</v>
      </c>
      <c r="AF430" s="80">
        <v>0</v>
      </c>
      <c r="AG430" s="80">
        <v>0</v>
      </c>
      <c r="AH430" s="80">
        <v>2</v>
      </c>
      <c r="AI430" s="80">
        <v>100</v>
      </c>
      <c r="AJ430" s="80">
        <v>0</v>
      </c>
      <c r="AK430" s="80">
        <v>0</v>
      </c>
      <c r="AL430" s="80">
        <v>0</v>
      </c>
      <c r="AM430" s="80">
        <v>0</v>
      </c>
    </row>
    <row r="431" spans="1:39" x14ac:dyDescent="0.35">
      <c r="B431" t="str">
        <f t="shared" si="306"/>
        <v>Arizona-9</v>
      </c>
      <c r="C431" t="str">
        <f t="shared" si="307"/>
        <v>Dec 2025-Arizona-9</v>
      </c>
      <c r="D431">
        <f t="shared" si="299"/>
        <v>9</v>
      </c>
      <c r="E431">
        <f t="shared" si="308"/>
        <v>3.09</v>
      </c>
      <c r="F431">
        <f t="shared" si="300"/>
        <v>9</v>
      </c>
      <c r="G431">
        <f t="shared" si="301"/>
        <v>3</v>
      </c>
      <c r="H431" t="str">
        <f>IF(V431="","",IFERROR(VLOOKUP(TRIM($V431),KEY!$B$2:$F$72,3,FALSE),""))</f>
        <v>Arizona</v>
      </c>
      <c r="I431" t="str">
        <f t="shared" si="309"/>
        <v>WEST-37</v>
      </c>
      <c r="J431" t="str">
        <f t="shared" si="310"/>
        <v>May 2026-WEST-37</v>
      </c>
      <c r="K431">
        <f t="shared" si="302"/>
        <v>37</v>
      </c>
      <c r="L431">
        <f t="shared" si="311"/>
        <v>14.36</v>
      </c>
      <c r="M431">
        <f>IF(V431="","",IFERROR(VLOOKUP(TRIM($V431),KEY!$B$2:$F$72,5,FALSE),""))</f>
        <v>36</v>
      </c>
      <c r="N431">
        <f t="shared" si="303"/>
        <v>14</v>
      </c>
      <c r="O431" t="str">
        <f t="shared" si="312"/>
        <v>Mercedes-Benz-2</v>
      </c>
      <c r="P431">
        <f t="shared" si="313"/>
        <v>2</v>
      </c>
      <c r="Q431">
        <f t="shared" si="314"/>
        <v>2.0099999999999998</v>
      </c>
      <c r="R431">
        <f t="shared" si="304"/>
        <v>1</v>
      </c>
      <c r="S431">
        <f t="shared" si="305"/>
        <v>2</v>
      </c>
      <c r="T431" t="str">
        <f>IF(V431="","",IFERROR(VLOOKUP(TRIM($V431),KEY!$B$2:$F$72,2,FALSE),""))</f>
        <v>Mercedes-Benz</v>
      </c>
      <c r="V431" s="80" t="s">
        <v>152</v>
      </c>
      <c r="W431" s="80">
        <v>2</v>
      </c>
      <c r="X431" s="80">
        <v>0</v>
      </c>
      <c r="Y431" s="80">
        <v>0</v>
      </c>
      <c r="Z431" s="80">
        <v>0</v>
      </c>
      <c r="AA431" s="80">
        <v>0</v>
      </c>
      <c r="AB431" s="80">
        <v>0</v>
      </c>
      <c r="AC431" s="80">
        <v>0</v>
      </c>
      <c r="AD431" s="80">
        <v>0</v>
      </c>
      <c r="AE431" s="80">
        <v>0</v>
      </c>
      <c r="AF431" s="80">
        <v>1</v>
      </c>
      <c r="AG431" s="80">
        <v>0</v>
      </c>
      <c r="AH431" s="80">
        <v>0</v>
      </c>
      <c r="AI431" s="80">
        <v>50</v>
      </c>
      <c r="AJ431" s="80">
        <v>0</v>
      </c>
      <c r="AK431" s="80">
        <v>1</v>
      </c>
      <c r="AL431" s="80">
        <v>0</v>
      </c>
      <c r="AM431" s="80">
        <v>50</v>
      </c>
    </row>
    <row r="432" spans="1:39" x14ac:dyDescent="0.35">
      <c r="B432" t="str">
        <f t="shared" si="306"/>
        <v>Arizona-3</v>
      </c>
      <c r="C432" t="str">
        <f t="shared" si="307"/>
        <v>Dec 2025-Arizona-3</v>
      </c>
      <c r="D432">
        <f t="shared" si="299"/>
        <v>3</v>
      </c>
      <c r="E432">
        <f t="shared" si="308"/>
        <v>3.02</v>
      </c>
      <c r="F432">
        <f t="shared" si="300"/>
        <v>2</v>
      </c>
      <c r="G432">
        <f t="shared" si="301"/>
        <v>3</v>
      </c>
      <c r="H432" t="str">
        <f>IF(V432="","",IFERROR(VLOOKUP(TRIM($V432),KEY!$B$2:$F$72,3,FALSE),""))</f>
        <v>Arizona</v>
      </c>
      <c r="I432" t="str">
        <f t="shared" si="309"/>
        <v>WEST-15</v>
      </c>
      <c r="J432" t="str">
        <f t="shared" si="310"/>
        <v>May 2026-WEST-15</v>
      </c>
      <c r="K432">
        <f t="shared" si="302"/>
        <v>15</v>
      </c>
      <c r="L432">
        <f t="shared" si="311"/>
        <v>14.03</v>
      </c>
      <c r="M432">
        <f>IF(V432="","",IFERROR(VLOOKUP(TRIM($V432),KEY!$B$2:$F$72,5,FALSE),""))</f>
        <v>3</v>
      </c>
      <c r="N432">
        <f t="shared" si="303"/>
        <v>14</v>
      </c>
      <c r="O432" t="str">
        <f t="shared" si="312"/>
        <v>Audi-3</v>
      </c>
      <c r="P432">
        <f t="shared" si="313"/>
        <v>3</v>
      </c>
      <c r="Q432">
        <f t="shared" si="314"/>
        <v>3.01</v>
      </c>
      <c r="R432">
        <f t="shared" si="304"/>
        <v>1</v>
      </c>
      <c r="S432">
        <f t="shared" si="305"/>
        <v>3</v>
      </c>
      <c r="T432" t="str">
        <f>IF(V432="","",IFERROR(VLOOKUP(TRIM($V432),KEY!$B$2:$F$72,2,FALSE),""))</f>
        <v>Audi</v>
      </c>
      <c r="V432" s="80" t="s">
        <v>158</v>
      </c>
      <c r="W432" s="80">
        <v>11</v>
      </c>
      <c r="X432" s="80">
        <v>0</v>
      </c>
      <c r="Y432" s="80">
        <v>0</v>
      </c>
      <c r="Z432" s="80">
        <v>0</v>
      </c>
      <c r="AA432" s="80">
        <v>0</v>
      </c>
      <c r="AB432" s="80">
        <v>0</v>
      </c>
      <c r="AC432" s="80">
        <v>0</v>
      </c>
      <c r="AD432" s="80">
        <v>0</v>
      </c>
      <c r="AE432" s="80">
        <v>0</v>
      </c>
      <c r="AF432" s="80">
        <v>0</v>
      </c>
      <c r="AG432" s="80">
        <v>0</v>
      </c>
      <c r="AH432" s="80">
        <v>11</v>
      </c>
      <c r="AI432" s="80">
        <v>100</v>
      </c>
      <c r="AJ432" s="80">
        <v>0</v>
      </c>
      <c r="AK432" s="80">
        <v>0</v>
      </c>
      <c r="AL432" s="80">
        <v>0</v>
      </c>
      <c r="AM432" s="80">
        <v>0</v>
      </c>
    </row>
    <row r="433" spans="2:39" x14ac:dyDescent="0.35">
      <c r="B433" t="str">
        <f t="shared" si="306"/>
        <v>Arizona-4</v>
      </c>
      <c r="C433" t="str">
        <f t="shared" si="307"/>
        <v>Dec 2025-Arizona-4</v>
      </c>
      <c r="D433">
        <f t="shared" si="299"/>
        <v>4</v>
      </c>
      <c r="E433">
        <f t="shared" si="308"/>
        <v>3.03</v>
      </c>
      <c r="F433">
        <f t="shared" si="300"/>
        <v>3</v>
      </c>
      <c r="G433">
        <f t="shared" si="301"/>
        <v>3</v>
      </c>
      <c r="H433" t="str">
        <f>IF(V433="","",IFERROR(VLOOKUP(TRIM($V433),KEY!$B$2:$F$72,3,FALSE),""))</f>
        <v>Arizona</v>
      </c>
      <c r="I433" t="str">
        <f t="shared" si="309"/>
        <v>WEST-18</v>
      </c>
      <c r="J433" t="str">
        <f t="shared" si="310"/>
        <v>May 2026-WEST-18</v>
      </c>
      <c r="K433">
        <f t="shared" si="302"/>
        <v>18</v>
      </c>
      <c r="L433">
        <f t="shared" si="311"/>
        <v>14.06</v>
      </c>
      <c r="M433">
        <f>IF(V433="","",IFERROR(VLOOKUP(TRIM($V433),KEY!$B$2:$F$72,5,FALSE),""))</f>
        <v>6</v>
      </c>
      <c r="N433">
        <f t="shared" si="303"/>
        <v>14</v>
      </c>
      <c r="O433" t="str">
        <f t="shared" si="312"/>
        <v>Audi-4</v>
      </c>
      <c r="P433">
        <f t="shared" si="313"/>
        <v>4</v>
      </c>
      <c r="Q433">
        <f t="shared" si="314"/>
        <v>3.04</v>
      </c>
      <c r="R433">
        <f t="shared" si="304"/>
        <v>4</v>
      </c>
      <c r="S433">
        <f t="shared" si="305"/>
        <v>3</v>
      </c>
      <c r="T433" t="str">
        <f>IF(V433="","",IFERROR(VLOOKUP(TRIM($V433),KEY!$B$2:$F$72,2,FALSE),""))</f>
        <v>Audi</v>
      </c>
      <c r="V433" s="80" t="s">
        <v>157</v>
      </c>
      <c r="W433" s="80">
        <v>23</v>
      </c>
      <c r="X433" s="80">
        <v>0</v>
      </c>
      <c r="Y433" s="80">
        <v>0</v>
      </c>
      <c r="Z433" s="80">
        <v>0</v>
      </c>
      <c r="AA433" s="80">
        <v>0</v>
      </c>
      <c r="AB433" s="80">
        <v>0</v>
      </c>
      <c r="AC433" s="80">
        <v>0</v>
      </c>
      <c r="AD433" s="80">
        <v>0</v>
      </c>
      <c r="AE433" s="80">
        <v>0</v>
      </c>
      <c r="AF433" s="80">
        <v>0</v>
      </c>
      <c r="AG433" s="80">
        <v>0</v>
      </c>
      <c r="AH433" s="80">
        <v>23</v>
      </c>
      <c r="AI433" s="80">
        <v>100</v>
      </c>
      <c r="AJ433" s="80">
        <v>0</v>
      </c>
      <c r="AK433" s="80">
        <v>0</v>
      </c>
      <c r="AL433" s="80">
        <v>0</v>
      </c>
      <c r="AM433" s="80">
        <v>0</v>
      </c>
    </row>
    <row r="434" spans="2:39" x14ac:dyDescent="0.35">
      <c r="B434" t="str">
        <f t="shared" si="306"/>
        <v>Arizona-11</v>
      </c>
      <c r="C434" t="str">
        <f t="shared" si="307"/>
        <v>Dec 2025-Arizona-11</v>
      </c>
      <c r="D434">
        <f t="shared" si="299"/>
        <v>11</v>
      </c>
      <c r="E434">
        <f t="shared" si="308"/>
        <v>3.11</v>
      </c>
      <c r="F434">
        <f t="shared" si="300"/>
        <v>11</v>
      </c>
      <c r="G434">
        <f t="shared" si="301"/>
        <v>3</v>
      </c>
      <c r="H434" t="str">
        <f>IF(V434="","",IFERROR(VLOOKUP(TRIM($V434),KEY!$B$2:$F$72,3,FALSE),""))</f>
        <v>Arizona</v>
      </c>
      <c r="I434" t="str">
        <f t="shared" si="309"/>
        <v>WEST-39</v>
      </c>
      <c r="J434" t="str">
        <f t="shared" si="310"/>
        <v>May 2026-WEST-39</v>
      </c>
      <c r="K434">
        <f t="shared" si="302"/>
        <v>39</v>
      </c>
      <c r="L434">
        <f t="shared" si="311"/>
        <v>14.39</v>
      </c>
      <c r="M434">
        <f>IF(V434="","",IFERROR(VLOOKUP(TRIM($V434),KEY!$B$2:$F$72,5,FALSE),""))</f>
        <v>39</v>
      </c>
      <c r="N434">
        <f t="shared" si="303"/>
        <v>14</v>
      </c>
      <c r="O434" t="str">
        <f t="shared" si="312"/>
        <v>MINI-3</v>
      </c>
      <c r="P434">
        <f t="shared" si="313"/>
        <v>3</v>
      </c>
      <c r="Q434">
        <f t="shared" si="314"/>
        <v>2.02</v>
      </c>
      <c r="R434">
        <f t="shared" si="304"/>
        <v>2</v>
      </c>
      <c r="S434">
        <f t="shared" si="305"/>
        <v>2</v>
      </c>
      <c r="T434" t="str">
        <f>IF(V434="","",IFERROR(VLOOKUP(TRIM($V434),KEY!$B$2:$F$72,2,FALSE),""))</f>
        <v>MINI</v>
      </c>
      <c r="V434" s="80" t="s">
        <v>160</v>
      </c>
      <c r="W434" s="80">
        <v>1</v>
      </c>
      <c r="X434" s="80">
        <v>0</v>
      </c>
      <c r="Y434" s="80">
        <v>0</v>
      </c>
      <c r="Z434" s="80">
        <v>0</v>
      </c>
      <c r="AA434" s="80">
        <v>0</v>
      </c>
      <c r="AB434" s="80">
        <v>0</v>
      </c>
      <c r="AC434" s="80">
        <v>0</v>
      </c>
      <c r="AD434" s="80">
        <v>0</v>
      </c>
      <c r="AE434" s="80">
        <v>0</v>
      </c>
      <c r="AF434" s="80">
        <v>0</v>
      </c>
      <c r="AG434" s="80">
        <v>0</v>
      </c>
      <c r="AH434" s="80">
        <v>1</v>
      </c>
      <c r="AI434" s="80">
        <v>100</v>
      </c>
      <c r="AJ434" s="80">
        <v>0</v>
      </c>
      <c r="AK434" s="80">
        <v>0</v>
      </c>
      <c r="AL434" s="80">
        <v>0</v>
      </c>
      <c r="AM434" s="80">
        <v>0</v>
      </c>
    </row>
    <row r="435" spans="2:39" x14ac:dyDescent="0.35">
      <c r="B435" t="str">
        <f t="shared" si="306"/>
        <v>Arizona-12</v>
      </c>
      <c r="C435" t="str">
        <f t="shared" si="307"/>
        <v>Dec 2025-Arizona-12</v>
      </c>
      <c r="D435">
        <f t="shared" si="299"/>
        <v>12</v>
      </c>
      <c r="E435">
        <f t="shared" si="308"/>
        <v>3.12</v>
      </c>
      <c r="F435">
        <f t="shared" si="300"/>
        <v>12</v>
      </c>
      <c r="G435">
        <f t="shared" si="301"/>
        <v>3</v>
      </c>
      <c r="H435" t="str">
        <f>IF(V435="","",IFERROR(VLOOKUP(TRIM($V435),KEY!$B$2:$F$72,3,FALSE),""))</f>
        <v>Arizona</v>
      </c>
      <c r="I435" t="str">
        <f t="shared" si="309"/>
        <v>WEST-47</v>
      </c>
      <c r="J435" t="str">
        <f t="shared" si="310"/>
        <v>May 2026-WEST-47</v>
      </c>
      <c r="K435">
        <f t="shared" si="302"/>
        <v>47</v>
      </c>
      <c r="L435">
        <f t="shared" si="311"/>
        <v>14.5</v>
      </c>
      <c r="M435">
        <f>IF(V435="","",IFERROR(VLOOKUP(TRIM($V435),KEY!$B$2:$F$72,5,FALSE),""))</f>
        <v>50</v>
      </c>
      <c r="N435">
        <f t="shared" si="303"/>
        <v>14</v>
      </c>
      <c r="O435" t="str">
        <f t="shared" si="312"/>
        <v>Porsche-1</v>
      </c>
      <c r="P435">
        <f t="shared" si="313"/>
        <v>1</v>
      </c>
      <c r="Q435">
        <f t="shared" si="314"/>
        <v>1.01</v>
      </c>
      <c r="R435">
        <f t="shared" si="304"/>
        <v>1</v>
      </c>
      <c r="S435">
        <f t="shared" si="305"/>
        <v>1</v>
      </c>
      <c r="T435" t="str">
        <f>IF(V435="","",IFERROR(VLOOKUP(TRIM($V435),KEY!$B$2:$F$72,2,FALSE),""))</f>
        <v>Porsche</v>
      </c>
      <c r="V435" s="80" t="s">
        <v>161</v>
      </c>
      <c r="W435" s="80">
        <v>3</v>
      </c>
      <c r="X435" s="80">
        <v>0</v>
      </c>
      <c r="Y435" s="80">
        <v>0</v>
      </c>
      <c r="Z435" s="80">
        <v>0</v>
      </c>
      <c r="AA435" s="80">
        <v>0</v>
      </c>
      <c r="AB435" s="80">
        <v>0</v>
      </c>
      <c r="AC435" s="80">
        <v>0</v>
      </c>
      <c r="AD435" s="80">
        <v>0</v>
      </c>
      <c r="AE435" s="80">
        <v>0</v>
      </c>
      <c r="AF435" s="80">
        <v>0</v>
      </c>
      <c r="AG435" s="80">
        <v>0</v>
      </c>
      <c r="AH435" s="80">
        <v>3</v>
      </c>
      <c r="AI435" s="80">
        <v>100</v>
      </c>
      <c r="AJ435" s="80">
        <v>0</v>
      </c>
      <c r="AK435" s="80">
        <v>0</v>
      </c>
      <c r="AL435" s="80">
        <v>0</v>
      </c>
      <c r="AM435" s="80">
        <v>0</v>
      </c>
    </row>
    <row r="436" spans="2:39" x14ac:dyDescent="0.35">
      <c r="B436" t="str">
        <f t="shared" ref="B436:B492" si="315">IF(V436="","",H436&amp;"-"&amp;D436)</f>
        <v>Arizona-13</v>
      </c>
      <c r="C436" t="str">
        <f t="shared" ref="C436:C492" si="316">IF(V436="","",$W$1&amp;"-"&amp;B436)</f>
        <v>Dec 2025-Arizona-13</v>
      </c>
      <c r="D436">
        <f t="shared" ref="D436:D492" si="317">IF(V436="","",COUNTIFS($H$422:$H$492,H436,$E$422:$E$492,"&lt;"&amp;E436)+1)</f>
        <v>13</v>
      </c>
      <c r="E436">
        <f t="shared" ref="E436:E492" si="318">IF(V436="","",G436+(F436/100))</f>
        <v>3.13</v>
      </c>
      <c r="F436">
        <f t="shared" ref="F436:F492" si="319">IF(V436="","",COUNTIFS($H$422:$H$492,H436,$V$422:$V$492,"&lt;"&amp;V436)+1)</f>
        <v>13</v>
      </c>
      <c r="G436">
        <f t="shared" ref="G436:G492" si="320">IF(V436="","",COUNTIFS($H$422:$H$492,H436,$Y$422:$Y$492,"&gt;"&amp;Y436)+1)</f>
        <v>3</v>
      </c>
      <c r="H436" t="str">
        <f>IF(V436="","",IFERROR(VLOOKUP(TRIM($V436),KEY!$B$2:$F$72,3,FALSE),""))</f>
        <v>Arizona</v>
      </c>
      <c r="I436" t="str">
        <f t="shared" ref="I436:I492" si="321">IF(V436="","","WEST-"&amp;K436)</f>
        <v>WEST-52</v>
      </c>
      <c r="J436" t="str">
        <f t="shared" ref="J436:J492" si="322">IF(V436="","",$AB$1&amp;"-"&amp;I436)</f>
        <v>May 2026-WEST-52</v>
      </c>
      <c r="K436">
        <f t="shared" ref="K436:K492" si="323">IFERROR(IF(V436="","",RANK(L436,$L$422:$L$492,1)),"-")</f>
        <v>52</v>
      </c>
      <c r="L436">
        <f t="shared" ref="L436:L492" si="324">IFERROR(IF(V436="","",N436+(M436/100)),"-")</f>
        <v>14.55</v>
      </c>
      <c r="M436">
        <f>IF(V436="","",IFERROR(VLOOKUP(TRIM($V436),KEY!$B$2:$F$72,5,FALSE),""))</f>
        <v>55</v>
      </c>
      <c r="N436">
        <f t="shared" ref="N436:N492" si="325">IFERROR(IF(V436="","",RANK(Y436,$Y$422:$Y$492)),"-")</f>
        <v>14</v>
      </c>
      <c r="O436" t="str">
        <f t="shared" ref="O436:O492" si="326">IF(V436="","",T436&amp;"-"&amp;P436)</f>
        <v>Ultra-2</v>
      </c>
      <c r="P436">
        <f t="shared" ref="P436:P492" si="327">IF(OR(V436="",Q436=""),"",COUNTIFS($T$4:$T$74,T436,$Q$4:$Q$74,"&lt;"&amp;Q436)+1)</f>
        <v>2</v>
      </c>
      <c r="Q436">
        <f t="shared" ref="Q436:Q492" si="328">IF(OR(V436="",W436=0),"",S436+(R436/100))</f>
        <v>1.03</v>
      </c>
      <c r="R436">
        <f t="shared" ref="R436:R492" si="329">IF(V436="","",COUNTIFS($T$422:$T$492,T436,$V$422:$V$492,"&lt;"&amp;V436)+1)</f>
        <v>3</v>
      </c>
      <c r="S436">
        <f t="shared" ref="S436:S492" si="330">IF(V436="","",COUNTIFS($T$422:$T$492,T436,$Y$422:$Y$492,"&gt;"&amp;Y436)+1)</f>
        <v>1</v>
      </c>
      <c r="T436" t="str">
        <f>IF(V436="","",IFERROR(VLOOKUP(TRIM($V436),KEY!$B$2:$F$72,2,FALSE),""))</f>
        <v>Ultra</v>
      </c>
      <c r="V436" s="80" t="s">
        <v>214</v>
      </c>
      <c r="W436" s="80">
        <v>2</v>
      </c>
      <c r="X436" s="80">
        <v>0</v>
      </c>
      <c r="Y436" s="80">
        <v>0</v>
      </c>
      <c r="Z436" s="80">
        <v>0</v>
      </c>
      <c r="AA436" s="80">
        <v>0</v>
      </c>
      <c r="AB436" s="80">
        <v>0</v>
      </c>
      <c r="AC436" s="80">
        <v>0</v>
      </c>
      <c r="AD436" s="80">
        <v>0</v>
      </c>
      <c r="AE436" s="80">
        <v>0</v>
      </c>
      <c r="AF436" s="80">
        <v>0</v>
      </c>
      <c r="AG436" s="80">
        <v>0</v>
      </c>
      <c r="AH436" s="80">
        <v>2</v>
      </c>
      <c r="AI436" s="80">
        <v>100</v>
      </c>
      <c r="AJ436" s="80">
        <v>0</v>
      </c>
      <c r="AK436" s="80">
        <v>0</v>
      </c>
      <c r="AL436" s="80">
        <v>0</v>
      </c>
      <c r="AM436" s="80">
        <v>0</v>
      </c>
    </row>
    <row r="437" spans="2:39" x14ac:dyDescent="0.35">
      <c r="B437" t="str">
        <f t="shared" si="315"/>
        <v>Arizona-7</v>
      </c>
      <c r="C437" t="str">
        <f t="shared" si="316"/>
        <v>Dec 2025-Arizona-7</v>
      </c>
      <c r="D437">
        <f t="shared" si="317"/>
        <v>7</v>
      </c>
      <c r="E437">
        <f t="shared" si="318"/>
        <v>3.06</v>
      </c>
      <c r="F437">
        <f t="shared" si="319"/>
        <v>6</v>
      </c>
      <c r="G437">
        <f t="shared" si="320"/>
        <v>3</v>
      </c>
      <c r="H437" t="str">
        <f>IF(V437="","",IFERROR(VLOOKUP(TRIM($V437),KEY!$B$2:$F$72,3,FALSE),""))</f>
        <v>Arizona</v>
      </c>
      <c r="I437" t="str">
        <f t="shared" si="321"/>
        <v>WEST-30</v>
      </c>
      <c r="J437" t="str">
        <f t="shared" si="322"/>
        <v>May 2026-WEST-30</v>
      </c>
      <c r="K437">
        <f t="shared" si="323"/>
        <v>30</v>
      </c>
      <c r="L437">
        <f t="shared" si="324"/>
        <v>14.27</v>
      </c>
      <c r="M437">
        <f>IF(V437="","",IFERROR(VLOOKUP(TRIM($V437),KEY!$B$2:$F$72,5,FALSE),""))</f>
        <v>27</v>
      </c>
      <c r="N437">
        <f t="shared" si="325"/>
        <v>14</v>
      </c>
      <c r="O437" t="str">
        <f t="shared" si="326"/>
        <v>Ultra-2</v>
      </c>
      <c r="P437">
        <f t="shared" si="327"/>
        <v>2</v>
      </c>
      <c r="Q437">
        <f t="shared" si="328"/>
        <v>1.02</v>
      </c>
      <c r="R437">
        <f t="shared" si="329"/>
        <v>2</v>
      </c>
      <c r="S437">
        <f t="shared" si="330"/>
        <v>1</v>
      </c>
      <c r="T437" t="str">
        <f>IF(V437="","",IFERROR(VLOOKUP(TRIM($V437),KEY!$B$2:$F$72,2,FALSE),""))</f>
        <v>Ultra</v>
      </c>
      <c r="V437" s="80" t="s">
        <v>215</v>
      </c>
      <c r="W437" s="80">
        <v>1</v>
      </c>
      <c r="X437" s="80">
        <v>0</v>
      </c>
      <c r="Y437" s="80">
        <v>0</v>
      </c>
      <c r="Z437" s="80">
        <v>0</v>
      </c>
      <c r="AA437" s="80">
        <v>0</v>
      </c>
      <c r="AB437" s="80">
        <v>0</v>
      </c>
      <c r="AC437" s="80">
        <v>0</v>
      </c>
      <c r="AD437" s="80">
        <v>0</v>
      </c>
      <c r="AE437" s="80">
        <v>0</v>
      </c>
      <c r="AF437" s="80">
        <v>0</v>
      </c>
      <c r="AG437" s="80">
        <v>0</v>
      </c>
      <c r="AH437" s="80">
        <v>1</v>
      </c>
      <c r="AI437" s="80">
        <v>100</v>
      </c>
      <c r="AJ437" s="80">
        <v>0</v>
      </c>
      <c r="AK437" s="80">
        <v>0</v>
      </c>
      <c r="AL437" s="80">
        <v>0</v>
      </c>
      <c r="AM437" s="80">
        <v>0</v>
      </c>
    </row>
    <row r="438" spans="2:39" x14ac:dyDescent="0.35">
      <c r="B438" t="str">
        <f t="shared" si="315"/>
        <v>Indiana-2</v>
      </c>
      <c r="C438" t="str">
        <f t="shared" si="316"/>
        <v>Dec 2025-Indiana-2</v>
      </c>
      <c r="D438">
        <f t="shared" si="317"/>
        <v>2</v>
      </c>
      <c r="E438">
        <f t="shared" si="318"/>
        <v>1.02</v>
      </c>
      <c r="F438">
        <f t="shared" si="319"/>
        <v>2</v>
      </c>
      <c r="G438">
        <f t="shared" si="320"/>
        <v>1</v>
      </c>
      <c r="H438" t="str">
        <f>IF(V438="","",IFERROR(VLOOKUP(TRIM($V438),KEY!$B$2:$F$72,3,FALSE),""))</f>
        <v>Indiana</v>
      </c>
      <c r="I438" t="str">
        <f t="shared" si="321"/>
        <v>WEST-45</v>
      </c>
      <c r="J438" t="str">
        <f t="shared" si="322"/>
        <v>May 2026-WEST-45</v>
      </c>
      <c r="K438">
        <f t="shared" si="323"/>
        <v>45</v>
      </c>
      <c r="L438">
        <f t="shared" si="324"/>
        <v>14.48</v>
      </c>
      <c r="M438">
        <f>IF(V438="","",IFERROR(VLOOKUP(TRIM($V438),KEY!$B$2:$F$72,5,FALSE),""))</f>
        <v>48</v>
      </c>
      <c r="N438">
        <f t="shared" si="325"/>
        <v>14</v>
      </c>
      <c r="O438" t="str">
        <f t="shared" si="326"/>
        <v>Honda-2</v>
      </c>
      <c r="P438">
        <f t="shared" si="327"/>
        <v>2</v>
      </c>
      <c r="Q438">
        <f t="shared" si="328"/>
        <v>1.05</v>
      </c>
      <c r="R438">
        <f t="shared" si="329"/>
        <v>5</v>
      </c>
      <c r="S438">
        <f t="shared" si="330"/>
        <v>1</v>
      </c>
      <c r="T438" t="str">
        <f>IF(V438="","",IFERROR(VLOOKUP(TRIM($V438),KEY!$B$2:$F$72,2,FALSE),""))</f>
        <v>Honda</v>
      </c>
      <c r="V438" s="78" t="s">
        <v>162</v>
      </c>
      <c r="W438" s="78">
        <v>70</v>
      </c>
      <c r="X438" s="78">
        <v>0</v>
      </c>
      <c r="Y438" s="78">
        <v>0</v>
      </c>
      <c r="Z438" s="78">
        <v>0</v>
      </c>
      <c r="AA438" s="78">
        <v>0</v>
      </c>
      <c r="AB438" s="78">
        <v>0</v>
      </c>
      <c r="AC438" s="78">
        <v>0</v>
      </c>
      <c r="AD438" s="78">
        <v>0</v>
      </c>
      <c r="AE438" s="78">
        <v>0</v>
      </c>
      <c r="AF438" s="78">
        <v>0</v>
      </c>
      <c r="AG438" s="78">
        <v>0</v>
      </c>
      <c r="AH438" s="78">
        <v>70</v>
      </c>
      <c r="AI438" s="78">
        <v>100</v>
      </c>
      <c r="AJ438" s="78">
        <v>0</v>
      </c>
      <c r="AK438" s="78">
        <v>0</v>
      </c>
      <c r="AL438" s="78">
        <v>0</v>
      </c>
      <c r="AM438" s="78">
        <v>0</v>
      </c>
    </row>
    <row r="439" spans="2:39" x14ac:dyDescent="0.35">
      <c r="B439" t="str">
        <f t="shared" si="315"/>
        <v>Indiana-1</v>
      </c>
      <c r="C439" t="str">
        <f t="shared" si="316"/>
        <v>Dec 2025-Indiana-1</v>
      </c>
      <c r="D439">
        <f t="shared" si="317"/>
        <v>1</v>
      </c>
      <c r="E439">
        <f t="shared" si="318"/>
        <v>1.01</v>
      </c>
      <c r="F439">
        <f t="shared" si="319"/>
        <v>1</v>
      </c>
      <c r="G439">
        <f t="shared" si="320"/>
        <v>1</v>
      </c>
      <c r="H439" t="str">
        <f>IF(V439="","",IFERROR(VLOOKUP(TRIM($V439),KEY!$B$2:$F$72,3,FALSE),""))</f>
        <v>Indiana</v>
      </c>
      <c r="I439" t="str">
        <f t="shared" si="321"/>
        <v>WEST-44</v>
      </c>
      <c r="J439" t="str">
        <f t="shared" si="322"/>
        <v>May 2026-WEST-44</v>
      </c>
      <c r="K439">
        <f t="shared" si="323"/>
        <v>44</v>
      </c>
      <c r="L439">
        <f t="shared" si="324"/>
        <v>14.47</v>
      </c>
      <c r="M439">
        <f>IF(V439="","",IFERROR(VLOOKUP(TRIM($V439),KEY!$B$2:$F$72,5,FALSE),""))</f>
        <v>47</v>
      </c>
      <c r="N439">
        <f t="shared" si="325"/>
        <v>14</v>
      </c>
      <c r="O439" t="str">
        <f t="shared" si="326"/>
        <v>Chevrolet-1</v>
      </c>
      <c r="P439">
        <f t="shared" si="327"/>
        <v>1</v>
      </c>
      <c r="Q439">
        <f t="shared" si="328"/>
        <v>1.01</v>
      </c>
      <c r="R439">
        <f t="shared" si="329"/>
        <v>1</v>
      </c>
      <c r="S439">
        <f t="shared" si="330"/>
        <v>1</v>
      </c>
      <c r="T439" t="str">
        <f>IF(V439="","",IFERROR(VLOOKUP(TRIM($V439),KEY!$B$2:$F$72,2,FALSE),""))</f>
        <v>Chevrolet</v>
      </c>
      <c r="V439" s="78" t="s">
        <v>163</v>
      </c>
      <c r="W439" s="78">
        <v>12</v>
      </c>
      <c r="X439" s="78">
        <v>0</v>
      </c>
      <c r="Y439" s="78">
        <v>0</v>
      </c>
      <c r="Z439" s="78">
        <v>0</v>
      </c>
      <c r="AA439" s="78">
        <v>0</v>
      </c>
      <c r="AB439" s="78">
        <v>0</v>
      </c>
      <c r="AC439" s="78">
        <v>0</v>
      </c>
      <c r="AD439" s="78">
        <v>0</v>
      </c>
      <c r="AE439" s="78">
        <v>0</v>
      </c>
      <c r="AF439" s="78">
        <v>0</v>
      </c>
      <c r="AG439" s="78">
        <v>0</v>
      </c>
      <c r="AH439" s="78">
        <v>12</v>
      </c>
      <c r="AI439" s="78">
        <v>100</v>
      </c>
      <c r="AJ439" s="78">
        <v>0</v>
      </c>
      <c r="AK439" s="78">
        <v>0</v>
      </c>
      <c r="AL439" s="78">
        <v>0</v>
      </c>
      <c r="AM439" s="78">
        <v>0</v>
      </c>
    </row>
    <row r="440" spans="2:39" x14ac:dyDescent="0.35">
      <c r="B440" t="str">
        <f t="shared" si="315"/>
        <v>Northern California-2</v>
      </c>
      <c r="C440" t="str">
        <f t="shared" si="316"/>
        <v>Dec 2025-Northern California-2</v>
      </c>
      <c r="D440">
        <f t="shared" si="317"/>
        <v>2</v>
      </c>
      <c r="E440">
        <f t="shared" si="318"/>
        <v>2.02</v>
      </c>
      <c r="F440">
        <f t="shared" si="319"/>
        <v>2</v>
      </c>
      <c r="G440">
        <f t="shared" si="320"/>
        <v>2</v>
      </c>
      <c r="H440" t="str">
        <f>IF(V440="","",IFERROR(VLOOKUP(TRIM($V440),KEY!$B$2:$F$72,3,FALSE),""))</f>
        <v>Northern California</v>
      </c>
      <c r="I440" t="str">
        <f t="shared" si="321"/>
        <v>WEST-22</v>
      </c>
      <c r="J440" t="str">
        <f t="shared" si="322"/>
        <v>May 2026-WEST-22</v>
      </c>
      <c r="K440">
        <f t="shared" si="323"/>
        <v>22</v>
      </c>
      <c r="L440">
        <f t="shared" si="324"/>
        <v>14.17</v>
      </c>
      <c r="M440">
        <f>IF(V440="","",IFERROR(VLOOKUP(TRIM($V440),KEY!$B$2:$F$72,5,FALSE),""))</f>
        <v>17</v>
      </c>
      <c r="N440">
        <f t="shared" si="325"/>
        <v>14</v>
      </c>
      <c r="O440" t="str">
        <f t="shared" si="326"/>
        <v>Acura-2</v>
      </c>
      <c r="P440">
        <f t="shared" si="327"/>
        <v>2</v>
      </c>
      <c r="Q440">
        <f t="shared" si="328"/>
        <v>2.0299999999999998</v>
      </c>
      <c r="R440">
        <f t="shared" si="329"/>
        <v>3</v>
      </c>
      <c r="S440">
        <f t="shared" si="330"/>
        <v>2</v>
      </c>
      <c r="T440" t="str">
        <f>IF(V440="","",IFERROR(VLOOKUP(TRIM($V440),KEY!$B$2:$F$72,2,FALSE),""))</f>
        <v>Acura</v>
      </c>
      <c r="V440" s="80" t="s">
        <v>164</v>
      </c>
      <c r="W440" s="80">
        <v>16</v>
      </c>
      <c r="X440" s="80">
        <v>0</v>
      </c>
      <c r="Y440" s="80">
        <v>0</v>
      </c>
      <c r="Z440" s="80">
        <v>0</v>
      </c>
      <c r="AA440" s="80">
        <v>0</v>
      </c>
      <c r="AB440" s="80">
        <v>0</v>
      </c>
      <c r="AC440" s="80">
        <v>0</v>
      </c>
      <c r="AD440" s="80">
        <v>0</v>
      </c>
      <c r="AE440" s="80">
        <v>0</v>
      </c>
      <c r="AF440" s="80">
        <v>0</v>
      </c>
      <c r="AG440" s="80">
        <v>0</v>
      </c>
      <c r="AH440" s="80">
        <v>16</v>
      </c>
      <c r="AI440" s="80">
        <v>100</v>
      </c>
      <c r="AJ440" s="80">
        <v>0</v>
      </c>
      <c r="AK440" s="80">
        <v>0</v>
      </c>
      <c r="AL440" s="80">
        <v>0</v>
      </c>
      <c r="AM440" s="80">
        <v>0</v>
      </c>
    </row>
    <row r="441" spans="2:39" x14ac:dyDescent="0.35">
      <c r="B441" t="str">
        <f t="shared" si="315"/>
        <v>Northern California-4</v>
      </c>
      <c r="C441" t="str">
        <f t="shared" si="316"/>
        <v>Dec 2025-Northern California-4</v>
      </c>
      <c r="D441">
        <f t="shared" si="317"/>
        <v>4</v>
      </c>
      <c r="E441">
        <f t="shared" si="318"/>
        <v>2.04</v>
      </c>
      <c r="F441">
        <f t="shared" si="319"/>
        <v>4</v>
      </c>
      <c r="G441">
        <f t="shared" si="320"/>
        <v>2</v>
      </c>
      <c r="H441" t="str">
        <f>IF(V441="","",IFERROR(VLOOKUP(TRIM($V441),KEY!$B$2:$F$72,3,FALSE),""))</f>
        <v>Northern California</v>
      </c>
      <c r="I441" t="str">
        <f t="shared" si="321"/>
        <v>WEST-27</v>
      </c>
      <c r="J441" t="str">
        <f t="shared" si="322"/>
        <v>May 2026-WEST-27</v>
      </c>
      <c r="K441">
        <f t="shared" si="323"/>
        <v>27</v>
      </c>
      <c r="L441">
        <f t="shared" si="324"/>
        <v>14.24</v>
      </c>
      <c r="M441">
        <f>IF(V441="","",IFERROR(VLOOKUP(TRIM($V441),KEY!$B$2:$F$72,5,FALSE),""))</f>
        <v>24</v>
      </c>
      <c r="N441">
        <f t="shared" si="325"/>
        <v>14</v>
      </c>
      <c r="O441" t="str">
        <f t="shared" si="326"/>
        <v>Honda-2</v>
      </c>
      <c r="P441">
        <f t="shared" si="327"/>
        <v>2</v>
      </c>
      <c r="Q441">
        <f t="shared" si="328"/>
        <v>1.03</v>
      </c>
      <c r="R441">
        <f t="shared" si="329"/>
        <v>3</v>
      </c>
      <c r="S441">
        <f t="shared" si="330"/>
        <v>1</v>
      </c>
      <c r="T441" t="str">
        <f>IF(V441="","",IFERROR(VLOOKUP(TRIM($V441),KEY!$B$2:$F$72,2,FALSE),""))</f>
        <v>Honda</v>
      </c>
      <c r="V441" s="80" t="s">
        <v>166</v>
      </c>
      <c r="W441" s="80">
        <v>44</v>
      </c>
      <c r="X441" s="80">
        <v>0</v>
      </c>
      <c r="Y441" s="80">
        <v>0</v>
      </c>
      <c r="Z441" s="80">
        <v>0</v>
      </c>
      <c r="AA441" s="80">
        <v>0</v>
      </c>
      <c r="AB441" s="80">
        <v>0</v>
      </c>
      <c r="AC441" s="80">
        <v>0</v>
      </c>
      <c r="AD441" s="80">
        <v>0</v>
      </c>
      <c r="AE441" s="80">
        <v>0</v>
      </c>
      <c r="AF441" s="80">
        <v>0</v>
      </c>
      <c r="AG441" s="80">
        <v>0</v>
      </c>
      <c r="AH441" s="80">
        <v>44</v>
      </c>
      <c r="AI441" s="80">
        <v>100</v>
      </c>
      <c r="AJ441" s="80">
        <v>0</v>
      </c>
      <c r="AK441" s="80">
        <v>0</v>
      </c>
      <c r="AL441" s="80">
        <v>0</v>
      </c>
      <c r="AM441" s="80">
        <v>0</v>
      </c>
    </row>
    <row r="442" spans="2:39" x14ac:dyDescent="0.35">
      <c r="B442" t="str">
        <f t="shared" si="315"/>
        <v>Northern California-3</v>
      </c>
      <c r="C442" t="str">
        <f t="shared" si="316"/>
        <v>Dec 2025-Northern California-3</v>
      </c>
      <c r="D442">
        <f t="shared" si="317"/>
        <v>3</v>
      </c>
      <c r="E442">
        <f t="shared" si="318"/>
        <v>2.0299999999999998</v>
      </c>
      <c r="F442">
        <f t="shared" si="319"/>
        <v>3</v>
      </c>
      <c r="G442">
        <f t="shared" si="320"/>
        <v>2</v>
      </c>
      <c r="H442" t="str">
        <f>IF(V442="","",IFERROR(VLOOKUP(TRIM($V442),KEY!$B$2:$F$72,3,FALSE),""))</f>
        <v>Northern California</v>
      </c>
      <c r="I442" t="str">
        <f t="shared" si="321"/>
        <v>WEST-23</v>
      </c>
      <c r="J442" t="str">
        <f t="shared" si="322"/>
        <v>May 2026-WEST-23</v>
      </c>
      <c r="K442">
        <f t="shared" si="323"/>
        <v>23</v>
      </c>
      <c r="L442">
        <f t="shared" si="324"/>
        <v>14.18</v>
      </c>
      <c r="M442">
        <f>IF(V442="","",IFERROR(VLOOKUP(TRIM($V442),KEY!$B$2:$F$72,5,FALSE),""))</f>
        <v>18</v>
      </c>
      <c r="N442">
        <f t="shared" si="325"/>
        <v>14</v>
      </c>
      <c r="O442" t="str">
        <f t="shared" si="326"/>
        <v>Honda-1</v>
      </c>
      <c r="P442">
        <f t="shared" si="327"/>
        <v>1</v>
      </c>
      <c r="Q442">
        <f t="shared" si="328"/>
        <v>1.01</v>
      </c>
      <c r="R442">
        <f t="shared" si="329"/>
        <v>1</v>
      </c>
      <c r="S442">
        <f t="shared" si="330"/>
        <v>1</v>
      </c>
      <c r="T442" t="str">
        <f>IF(V442="","",IFERROR(VLOOKUP(TRIM($V442),KEY!$B$2:$F$72,2,FALSE),""))</f>
        <v>Honda</v>
      </c>
      <c r="V442" s="80" t="s">
        <v>165</v>
      </c>
      <c r="W442" s="80">
        <v>21</v>
      </c>
      <c r="X442" s="80">
        <v>0</v>
      </c>
      <c r="Y442" s="80">
        <v>0</v>
      </c>
      <c r="Z442" s="80">
        <v>0</v>
      </c>
      <c r="AA442" s="80">
        <v>0</v>
      </c>
      <c r="AB442" s="80">
        <v>0</v>
      </c>
      <c r="AC442" s="80">
        <v>0</v>
      </c>
      <c r="AD442" s="80">
        <v>0</v>
      </c>
      <c r="AE442" s="80">
        <v>0</v>
      </c>
      <c r="AF442" s="80">
        <v>0</v>
      </c>
      <c r="AG442" s="80">
        <v>0</v>
      </c>
      <c r="AH442" s="80">
        <v>21</v>
      </c>
      <c r="AI442" s="80">
        <v>100</v>
      </c>
      <c r="AJ442" s="80">
        <v>0</v>
      </c>
      <c r="AK442" s="80">
        <v>0</v>
      </c>
      <c r="AL442" s="80">
        <v>0</v>
      </c>
      <c r="AM442" s="80">
        <v>0</v>
      </c>
    </row>
    <row r="443" spans="2:39" x14ac:dyDescent="0.35">
      <c r="B443" t="str">
        <f>IF(V443="","",H443&amp;"-"&amp;D443)</f>
        <v>Northern California-6</v>
      </c>
      <c r="C443" t="str">
        <f>IF(V443="","",$W$1&amp;"-"&amp;B443)</f>
        <v>Dec 2025-Northern California-6</v>
      </c>
      <c r="D443">
        <f>IF(V443="","",COUNTIFS($H$422:$H$492,H443,$E$422:$E$492,"&lt;"&amp;E443)+1)</f>
        <v>6</v>
      </c>
      <c r="E443">
        <f>IF(V443="","",G443+(F443/100))</f>
        <v>2.06</v>
      </c>
      <c r="F443">
        <f>IF(V443="","",COUNTIFS($H$422:$H$492,H443,$V$422:$V$492,"&lt;"&amp;V443)+1)</f>
        <v>6</v>
      </c>
      <c r="G443">
        <f>IF(V443="","",COUNTIFS($H$422:$H$492,H443,$Y$422:$Y$492,"&gt;"&amp;Y443)+1)</f>
        <v>2</v>
      </c>
      <c r="H443" t="str">
        <f>IF(V443="","",IFERROR(VLOOKUP(TRIM($V443),KEY!$B$2:$F$72,3,FALSE),""))</f>
        <v>Northern California</v>
      </c>
      <c r="I443" t="str">
        <f>IF(V443="","","WEST-"&amp;K443)</f>
        <v>WEST-46</v>
      </c>
      <c r="J443" t="str">
        <f>IF(V443="","",$AB$1&amp;"-"&amp;I443)</f>
        <v>May 2026-WEST-46</v>
      </c>
      <c r="K443">
        <f>IFERROR(IF(V443="","",RANK(L443,$L$422:$L$492,1)),"-")</f>
        <v>46</v>
      </c>
      <c r="L443">
        <f>IFERROR(IF(V443="","",N443+(M443/100)),"-")</f>
        <v>14.49</v>
      </c>
      <c r="M443">
        <f>IF(V443="","",IFERROR(VLOOKUP(TRIM($V443),KEY!$B$2:$F$72,5,FALSE),""))</f>
        <v>49</v>
      </c>
      <c r="N443">
        <f>IFERROR(IF(V443="","",RANK(Y443,$Y$422:$Y$492)),"-")</f>
        <v>14</v>
      </c>
      <c r="O443" t="str">
        <f>IF(V443="","",T443&amp;"-"&amp;P443)</f>
        <v>BMW-6</v>
      </c>
      <c r="P443">
        <f>IF(OR(V443="",Q443=""),"",COUNTIFS($T$4:$T$74,T443,$Q$4:$Q$74,"&lt;"&amp;Q443)+1)</f>
        <v>6</v>
      </c>
      <c r="Q443">
        <f>IF(OR(V443="",W443=0),"",S443+(R443/100))</f>
        <v>6.09</v>
      </c>
      <c r="R443">
        <f>IF(V443="","",COUNTIFS($T$422:$T$492,T443,$V$422:$V$492,"&lt;"&amp;V443)+1)</f>
        <v>9</v>
      </c>
      <c r="S443">
        <f>IF(V443="","",COUNTIFS($T$422:$T$492,T443,$Y$422:$Y$492,"&gt;"&amp;Y443)+1)</f>
        <v>6</v>
      </c>
      <c r="T443" t="str">
        <f>IF(V443="","",IFERROR(VLOOKUP(TRIM($V443),KEY!$B$2:$F$72,2,FALSE),""))</f>
        <v>BMW</v>
      </c>
      <c r="V443" s="80" t="s">
        <v>168</v>
      </c>
      <c r="W443" s="80">
        <v>75</v>
      </c>
      <c r="X443" s="80">
        <v>0</v>
      </c>
      <c r="Y443" s="80">
        <v>0</v>
      </c>
      <c r="Z443" s="80">
        <v>0</v>
      </c>
      <c r="AA443" s="80">
        <v>0</v>
      </c>
      <c r="AB443" s="80">
        <v>0</v>
      </c>
      <c r="AC443" s="80">
        <v>0</v>
      </c>
      <c r="AD443" s="80">
        <v>0</v>
      </c>
      <c r="AE443" s="80">
        <v>0</v>
      </c>
      <c r="AF443" s="80">
        <v>0</v>
      </c>
      <c r="AG443" s="80">
        <v>0</v>
      </c>
      <c r="AH443" s="80">
        <v>75</v>
      </c>
      <c r="AI443" s="80">
        <v>100</v>
      </c>
      <c r="AJ443" s="80">
        <v>0</v>
      </c>
      <c r="AK443" s="80">
        <v>0</v>
      </c>
      <c r="AL443" s="80">
        <v>0</v>
      </c>
      <c r="AM443" s="80">
        <v>0</v>
      </c>
    </row>
    <row r="444" spans="2:39" x14ac:dyDescent="0.35">
      <c r="B444" t="str">
        <f>IF(V444="","",H444&amp;"-"&amp;D444)</f>
        <v>Northern California-8</v>
      </c>
      <c r="C444" t="str">
        <f>IF(V444="","",$W$1&amp;"-"&amp;B444)</f>
        <v>Dec 2025-Northern California-8</v>
      </c>
      <c r="D444">
        <f>IF(V444="","",COUNTIFS($H$422:$H$492,H444,$E$422:$E$492,"&lt;"&amp;E444)+1)</f>
        <v>8</v>
      </c>
      <c r="E444">
        <f>IF(V444="","",G444+(F444/100))</f>
        <v>2.08</v>
      </c>
      <c r="F444">
        <f>IF(V444="","",COUNTIFS($H$422:$H$492,H444,$V$422:$V$492,"&lt;"&amp;V444)+1)</f>
        <v>8</v>
      </c>
      <c r="G444">
        <f>IF(V444="","",COUNTIFS($H$422:$H$492,H444,$Y$422:$Y$492,"&gt;"&amp;Y444)+1)</f>
        <v>2</v>
      </c>
      <c r="H444" t="str">
        <f>IF(V444="","",IFERROR(VLOOKUP(TRIM($V444),KEY!$B$2:$F$72,3,FALSE),""))</f>
        <v>Northern California</v>
      </c>
      <c r="I444" t="str">
        <f>IF(V444="","","WEST-"&amp;K444)</f>
        <v>WEST-55</v>
      </c>
      <c r="J444" t="str">
        <f>IF(V444="","",$AB$1&amp;"-"&amp;I444)</f>
        <v>May 2026-WEST-55</v>
      </c>
      <c r="K444">
        <f>IFERROR(IF(V444="","",RANK(L444,$L$422:$L$492,1)),"-")</f>
        <v>55</v>
      </c>
      <c r="L444">
        <f>IFERROR(IF(V444="","",N444+(M444/100)),"-")</f>
        <v>14.58</v>
      </c>
      <c r="M444">
        <f>IF(V444="","",IFERROR(VLOOKUP(TRIM($V444),KEY!$B$2:$F$72,5,FALSE),""))</f>
        <v>58</v>
      </c>
      <c r="N444">
        <f>IFERROR(IF(V444="","",RANK(Y444,$Y$422:$Y$492)),"-")</f>
        <v>14</v>
      </c>
      <c r="O444" t="str">
        <f>IF(V444="","",T444&amp;"-"&amp;P444)</f>
        <v>Toyota-3</v>
      </c>
      <c r="P444">
        <f>IF(OR(V444="",Q444=""),"",COUNTIFS($T$4:$T$74,T444,$Q$4:$Q$74,"&lt;"&amp;Q444)+1)</f>
        <v>3</v>
      </c>
      <c r="Q444">
        <f>IF(OR(V444="",W444=0),"",S444+(R444/100))</f>
        <v>2.04</v>
      </c>
      <c r="R444">
        <f>IF(V444="","",COUNTIFS($T$422:$T$492,T444,$V$422:$V$492,"&lt;"&amp;V444)+1)</f>
        <v>4</v>
      </c>
      <c r="S444">
        <f>IF(V444="","",COUNTIFS($T$422:$T$492,T444,$Y$422:$Y$492,"&gt;"&amp;Y444)+1)</f>
        <v>2</v>
      </c>
      <c r="T444" t="str">
        <f>IF(V444="","",IFERROR(VLOOKUP(TRIM($V444),KEY!$B$2:$F$72,2,FALSE),""))</f>
        <v>Toyota</v>
      </c>
      <c r="V444" s="80" t="s">
        <v>167</v>
      </c>
      <c r="W444" s="80">
        <v>8</v>
      </c>
      <c r="X444" s="80">
        <v>0</v>
      </c>
      <c r="Y444" s="80">
        <v>0</v>
      </c>
      <c r="Z444" s="80">
        <v>0</v>
      </c>
      <c r="AA444" s="80">
        <v>0</v>
      </c>
      <c r="AB444" s="80">
        <v>0</v>
      </c>
      <c r="AC444" s="80">
        <v>0</v>
      </c>
      <c r="AD444" s="80">
        <v>0</v>
      </c>
      <c r="AE444" s="80">
        <v>0</v>
      </c>
      <c r="AF444" s="80">
        <v>0</v>
      </c>
      <c r="AG444" s="80">
        <v>0</v>
      </c>
      <c r="AH444" s="80">
        <v>8</v>
      </c>
      <c r="AI444" s="80">
        <v>100</v>
      </c>
      <c r="AJ444" s="80">
        <v>0</v>
      </c>
      <c r="AK444" s="80">
        <v>0</v>
      </c>
      <c r="AL444" s="80">
        <v>0</v>
      </c>
      <c r="AM444" s="80">
        <v>0</v>
      </c>
    </row>
    <row r="445" spans="2:39" x14ac:dyDescent="0.35">
      <c r="B445" t="str">
        <f t="shared" si="315"/>
        <v>Northern California-1</v>
      </c>
      <c r="C445" t="str">
        <f t="shared" si="316"/>
        <v>Dec 2025-Northern California-1</v>
      </c>
      <c r="D445">
        <f t="shared" si="317"/>
        <v>1</v>
      </c>
      <c r="E445">
        <f t="shared" si="318"/>
        <v>1.01</v>
      </c>
      <c r="F445">
        <f t="shared" si="319"/>
        <v>1</v>
      </c>
      <c r="G445">
        <f t="shared" si="320"/>
        <v>1</v>
      </c>
      <c r="H445" t="str">
        <f>IF(V445="","",IFERROR(VLOOKUP(TRIM($V445),KEY!$B$2:$F$72,3,FALSE),""))</f>
        <v>Northern California</v>
      </c>
      <c r="I445" t="str">
        <f t="shared" si="321"/>
        <v>WEST-8</v>
      </c>
      <c r="J445" t="str">
        <f t="shared" si="322"/>
        <v>May 2026-WEST-8</v>
      </c>
      <c r="K445">
        <f t="shared" si="323"/>
        <v>8</v>
      </c>
      <c r="L445">
        <f t="shared" si="324"/>
        <v>8.07</v>
      </c>
      <c r="M445">
        <f>IF(V445="","",IFERROR(VLOOKUP(TRIM($V445),KEY!$B$2:$F$72,5,FALSE),""))</f>
        <v>7</v>
      </c>
      <c r="N445">
        <f t="shared" si="325"/>
        <v>8</v>
      </c>
      <c r="O445" t="str">
        <f t="shared" si="326"/>
        <v>Audi-2</v>
      </c>
      <c r="P445">
        <f t="shared" si="327"/>
        <v>2</v>
      </c>
      <c r="Q445">
        <f t="shared" si="328"/>
        <v>1.05</v>
      </c>
      <c r="R445">
        <f t="shared" si="329"/>
        <v>5</v>
      </c>
      <c r="S445">
        <f t="shared" si="330"/>
        <v>1</v>
      </c>
      <c r="T445" t="str">
        <f>IF(V445="","",IFERROR(VLOOKUP(TRIM($V445),KEY!$B$2:$F$72,2,FALSE),""))</f>
        <v>Audi</v>
      </c>
      <c r="V445" s="80" t="s">
        <v>169</v>
      </c>
      <c r="W445" s="80">
        <v>81</v>
      </c>
      <c r="X445" s="80">
        <v>3</v>
      </c>
      <c r="Y445" s="80">
        <v>4</v>
      </c>
      <c r="Z445" s="80">
        <v>0</v>
      </c>
      <c r="AA445" s="80">
        <v>3</v>
      </c>
      <c r="AB445" s="80">
        <v>0</v>
      </c>
      <c r="AC445" s="80">
        <v>3</v>
      </c>
      <c r="AD445" s="80">
        <v>6</v>
      </c>
      <c r="AE445" s="80">
        <v>7</v>
      </c>
      <c r="AF445" s="80">
        <v>75</v>
      </c>
      <c r="AG445" s="80">
        <v>0</v>
      </c>
      <c r="AH445" s="80">
        <v>0</v>
      </c>
      <c r="AI445" s="80">
        <v>93</v>
      </c>
      <c r="AJ445" s="80">
        <v>0</v>
      </c>
      <c r="AK445" s="80">
        <v>0</v>
      </c>
      <c r="AL445" s="80">
        <v>0</v>
      </c>
      <c r="AM445" s="80">
        <v>0</v>
      </c>
    </row>
    <row r="446" spans="2:39" x14ac:dyDescent="0.35">
      <c r="B446" t="str">
        <f t="shared" si="315"/>
        <v>Northern California-5</v>
      </c>
      <c r="C446" t="str">
        <f t="shared" si="316"/>
        <v>Dec 2025-Northern California-5</v>
      </c>
      <c r="D446">
        <f t="shared" si="317"/>
        <v>5</v>
      </c>
      <c r="E446">
        <f t="shared" si="318"/>
        <v>2.0499999999999998</v>
      </c>
      <c r="F446">
        <f t="shared" si="319"/>
        <v>5</v>
      </c>
      <c r="G446">
        <f t="shared" si="320"/>
        <v>2</v>
      </c>
      <c r="H446" t="str">
        <f>IF(V446="","",IFERROR(VLOOKUP(TRIM($V446),KEY!$B$2:$F$72,3,FALSE),""))</f>
        <v>Northern California</v>
      </c>
      <c r="I446" t="str">
        <f t="shared" si="321"/>
        <v>WEST-41</v>
      </c>
      <c r="J446" t="str">
        <f t="shared" si="322"/>
        <v>May 2026-WEST-41</v>
      </c>
      <c r="K446">
        <f t="shared" si="323"/>
        <v>41</v>
      </c>
      <c r="L446">
        <f t="shared" si="324"/>
        <v>14.41</v>
      </c>
      <c r="M446">
        <f>IF(V446="","",IFERROR(VLOOKUP(TRIM($V446),KEY!$B$2:$F$72,5,FALSE),""))</f>
        <v>41</v>
      </c>
      <c r="N446">
        <f t="shared" si="325"/>
        <v>14</v>
      </c>
      <c r="O446" t="str">
        <f t="shared" si="326"/>
        <v>MINI-3</v>
      </c>
      <c r="P446">
        <f t="shared" si="327"/>
        <v>3</v>
      </c>
      <c r="Q446">
        <f t="shared" si="328"/>
        <v>2.04</v>
      </c>
      <c r="R446">
        <f t="shared" si="329"/>
        <v>4</v>
      </c>
      <c r="S446">
        <f t="shared" si="330"/>
        <v>2</v>
      </c>
      <c r="T446" t="str">
        <f>IF(V446="","",IFERROR(VLOOKUP(TRIM($V446),KEY!$B$2:$F$72,2,FALSE),""))</f>
        <v>MINI</v>
      </c>
      <c r="V446" s="80" t="s">
        <v>170</v>
      </c>
      <c r="W446" s="80">
        <v>5</v>
      </c>
      <c r="X446" s="80">
        <v>0</v>
      </c>
      <c r="Y446" s="80">
        <v>0</v>
      </c>
      <c r="Z446" s="80">
        <v>0</v>
      </c>
      <c r="AA446" s="80">
        <v>0</v>
      </c>
      <c r="AB446" s="80">
        <v>0</v>
      </c>
      <c r="AC446" s="80">
        <v>0</v>
      </c>
      <c r="AD446" s="80">
        <v>0</v>
      </c>
      <c r="AE446" s="80">
        <v>0</v>
      </c>
      <c r="AF446" s="80">
        <v>4</v>
      </c>
      <c r="AG446" s="80">
        <v>0</v>
      </c>
      <c r="AH446" s="80">
        <v>0</v>
      </c>
      <c r="AI446" s="80">
        <v>80</v>
      </c>
      <c r="AJ446" s="80">
        <v>1</v>
      </c>
      <c r="AK446" s="80">
        <v>0</v>
      </c>
      <c r="AL446" s="80">
        <v>0</v>
      </c>
      <c r="AM446" s="80">
        <v>20</v>
      </c>
    </row>
    <row r="447" spans="2:39" x14ac:dyDescent="0.35">
      <c r="B447" t="str">
        <f t="shared" si="315"/>
        <v>Northern California-7</v>
      </c>
      <c r="C447" t="str">
        <f t="shared" si="316"/>
        <v>Dec 2025-Northern California-7</v>
      </c>
      <c r="D447">
        <f t="shared" si="317"/>
        <v>7</v>
      </c>
      <c r="E447">
        <f t="shared" si="318"/>
        <v>2.0699999999999998</v>
      </c>
      <c r="F447">
        <f t="shared" si="319"/>
        <v>7</v>
      </c>
      <c r="G447">
        <f t="shared" si="320"/>
        <v>2</v>
      </c>
      <c r="H447" t="str">
        <f>IF(V447="","",IFERROR(VLOOKUP(TRIM($V447),KEY!$B$2:$F$72,3,FALSE),""))</f>
        <v>Northern California</v>
      </c>
      <c r="I447" t="str">
        <f t="shared" si="321"/>
        <v>WEST-48</v>
      </c>
      <c r="J447" t="str">
        <f t="shared" si="322"/>
        <v>May 2026-WEST-48</v>
      </c>
      <c r="K447">
        <f t="shared" si="323"/>
        <v>48</v>
      </c>
      <c r="L447">
        <f t="shared" si="324"/>
        <v>14.51</v>
      </c>
      <c r="M447">
        <f>IF(V447="","",IFERROR(VLOOKUP(TRIM($V447),KEY!$B$2:$F$72,5,FALSE),""))</f>
        <v>51</v>
      </c>
      <c r="N447">
        <f t="shared" si="325"/>
        <v>14</v>
      </c>
      <c r="O447" t="str">
        <f t="shared" si="326"/>
        <v>Porsche-2</v>
      </c>
      <c r="P447">
        <f t="shared" si="327"/>
        <v>2</v>
      </c>
      <c r="Q447">
        <f t="shared" si="328"/>
        <v>1.02</v>
      </c>
      <c r="R447">
        <f t="shared" si="329"/>
        <v>2</v>
      </c>
      <c r="S447">
        <f t="shared" si="330"/>
        <v>1</v>
      </c>
      <c r="T447" t="str">
        <f>IF(V447="","",IFERROR(VLOOKUP(TRIM($V447),KEY!$B$2:$F$72,2,FALSE),""))</f>
        <v>Porsche</v>
      </c>
      <c r="V447" s="80" t="s">
        <v>171</v>
      </c>
      <c r="W447" s="80">
        <v>5</v>
      </c>
      <c r="X447" s="80">
        <v>0</v>
      </c>
      <c r="Y447" s="80">
        <v>0</v>
      </c>
      <c r="Z447" s="80">
        <v>0</v>
      </c>
      <c r="AA447" s="80">
        <v>0</v>
      </c>
      <c r="AB447" s="80">
        <v>0</v>
      </c>
      <c r="AC447" s="80">
        <v>0</v>
      </c>
      <c r="AD447" s="80">
        <v>0</v>
      </c>
      <c r="AE447" s="80">
        <v>0</v>
      </c>
      <c r="AF447" s="80">
        <v>0</v>
      </c>
      <c r="AG447" s="80">
        <v>0</v>
      </c>
      <c r="AH447" s="80">
        <v>5</v>
      </c>
      <c r="AI447" s="80">
        <v>100</v>
      </c>
      <c r="AJ447" s="80">
        <v>0</v>
      </c>
      <c r="AK447" s="80">
        <v>0</v>
      </c>
      <c r="AL447" s="80">
        <v>0</v>
      </c>
      <c r="AM447" s="80">
        <v>0</v>
      </c>
    </row>
    <row r="448" spans="2:39" x14ac:dyDescent="0.35">
      <c r="B448" t="str">
        <f t="shared" si="315"/>
        <v>Orange County-3</v>
      </c>
      <c r="C448" t="str">
        <f t="shared" si="316"/>
        <v>Dec 2025-Orange County-3</v>
      </c>
      <c r="D448">
        <f t="shared" si="317"/>
        <v>3</v>
      </c>
      <c r="E448">
        <f t="shared" si="318"/>
        <v>2.08</v>
      </c>
      <c r="F448">
        <f t="shared" si="319"/>
        <v>8</v>
      </c>
      <c r="G448">
        <f t="shared" si="320"/>
        <v>2</v>
      </c>
      <c r="H448" t="str">
        <f>IF(V448="","",IFERROR(VLOOKUP(TRIM($V448),KEY!$B$2:$F$72,3,FALSE),""))</f>
        <v>Orange County</v>
      </c>
      <c r="I448" t="str">
        <f t="shared" si="321"/>
        <v>WEST-12</v>
      </c>
      <c r="J448" t="str">
        <f t="shared" si="322"/>
        <v>May 2026-WEST-12</v>
      </c>
      <c r="K448">
        <f t="shared" si="323"/>
        <v>12</v>
      </c>
      <c r="L448">
        <f t="shared" si="324"/>
        <v>10.62</v>
      </c>
      <c r="M448">
        <f>IF(V448="","",IFERROR(VLOOKUP(TRIM($V448),KEY!$B$2:$F$72,5,FALSE),""))</f>
        <v>62</v>
      </c>
      <c r="N448">
        <f t="shared" si="325"/>
        <v>10</v>
      </c>
      <c r="O448" t="str">
        <f t="shared" si="326"/>
        <v>Volkswagen-1</v>
      </c>
      <c r="P448">
        <f t="shared" si="327"/>
        <v>1</v>
      </c>
      <c r="Q448">
        <f t="shared" si="328"/>
        <v>1.02</v>
      </c>
      <c r="R448">
        <f t="shared" si="329"/>
        <v>2</v>
      </c>
      <c r="S448">
        <f t="shared" si="330"/>
        <v>1</v>
      </c>
      <c r="T448" t="str">
        <f>IF(V448="","",IFERROR(VLOOKUP(TRIM($V448),KEY!$B$2:$F$72,2,FALSE),""))</f>
        <v>Volkswagen</v>
      </c>
      <c r="V448" s="80" t="s">
        <v>172</v>
      </c>
      <c r="W448" s="80">
        <v>34</v>
      </c>
      <c r="X448" s="80">
        <v>1</v>
      </c>
      <c r="Y448" s="80">
        <v>3</v>
      </c>
      <c r="Z448" s="80">
        <v>0</v>
      </c>
      <c r="AA448" s="80">
        <v>1</v>
      </c>
      <c r="AB448" s="80">
        <v>0</v>
      </c>
      <c r="AC448" s="80">
        <v>0</v>
      </c>
      <c r="AD448" s="80">
        <v>1</v>
      </c>
      <c r="AE448" s="80">
        <v>3</v>
      </c>
      <c r="AF448" s="80">
        <v>0</v>
      </c>
      <c r="AG448" s="80">
        <v>0</v>
      </c>
      <c r="AH448" s="80">
        <v>33</v>
      </c>
      <c r="AI448" s="80">
        <v>97</v>
      </c>
      <c r="AJ448" s="80">
        <v>0</v>
      </c>
      <c r="AK448" s="80">
        <v>0</v>
      </c>
      <c r="AL448" s="80">
        <v>0</v>
      </c>
      <c r="AM448" s="80">
        <v>0</v>
      </c>
    </row>
    <row r="449" spans="2:39" x14ac:dyDescent="0.35">
      <c r="B449" t="str">
        <f t="shared" si="315"/>
        <v>Orange County-7</v>
      </c>
      <c r="C449" t="str">
        <f t="shared" si="316"/>
        <v>Dec 2025-Orange County-7</v>
      </c>
      <c r="D449">
        <f t="shared" si="317"/>
        <v>7</v>
      </c>
      <c r="E449">
        <f t="shared" si="318"/>
        <v>5.0599999999999996</v>
      </c>
      <c r="F449">
        <f t="shared" si="319"/>
        <v>6</v>
      </c>
      <c r="G449">
        <f t="shared" si="320"/>
        <v>5</v>
      </c>
      <c r="H449" t="str">
        <f>IF(V449="","",IFERROR(VLOOKUP(TRIM($V449),KEY!$B$2:$F$72,3,FALSE),""))</f>
        <v>Orange County</v>
      </c>
      <c r="I449" t="str">
        <f t="shared" si="321"/>
        <v>WEST-35</v>
      </c>
      <c r="J449" t="str">
        <f t="shared" si="322"/>
        <v>May 2026-WEST-35</v>
      </c>
      <c r="K449">
        <f t="shared" si="323"/>
        <v>35</v>
      </c>
      <c r="L449">
        <f t="shared" si="324"/>
        <v>14.34</v>
      </c>
      <c r="M449">
        <f>IF(V449="","",IFERROR(VLOOKUP(TRIM($V449),KEY!$B$2:$F$72,5,FALSE),""))</f>
        <v>34</v>
      </c>
      <c r="N449">
        <f t="shared" si="325"/>
        <v>14</v>
      </c>
      <c r="O449" t="str">
        <f t="shared" si="326"/>
        <v>Lincoln-1</v>
      </c>
      <c r="P449">
        <f t="shared" si="327"/>
        <v>1</v>
      </c>
      <c r="Q449">
        <f t="shared" si="328"/>
        <v>1.01</v>
      </c>
      <c r="R449">
        <f t="shared" si="329"/>
        <v>1</v>
      </c>
      <c r="S449">
        <f t="shared" si="330"/>
        <v>1</v>
      </c>
      <c r="T449" t="str">
        <f>IF(V449="","",IFERROR(VLOOKUP(TRIM($V449),KEY!$B$2:$F$72,2,FALSE),""))</f>
        <v>Lincoln</v>
      </c>
      <c r="V449" s="80" t="s">
        <v>176</v>
      </c>
      <c r="W449" s="80">
        <v>5</v>
      </c>
      <c r="X449" s="80">
        <v>0</v>
      </c>
      <c r="Y449" s="80">
        <v>0</v>
      </c>
      <c r="Z449" s="80">
        <v>0</v>
      </c>
      <c r="AA449" s="80">
        <v>0</v>
      </c>
      <c r="AB449" s="80">
        <v>0</v>
      </c>
      <c r="AC449" s="80">
        <v>0</v>
      </c>
      <c r="AD449" s="80">
        <v>0</v>
      </c>
      <c r="AE449" s="80">
        <v>0</v>
      </c>
      <c r="AF449" s="80">
        <v>5</v>
      </c>
      <c r="AG449" s="80">
        <v>0</v>
      </c>
      <c r="AH449" s="80">
        <v>0</v>
      </c>
      <c r="AI449" s="80">
        <v>100</v>
      </c>
      <c r="AJ449" s="80">
        <v>0</v>
      </c>
      <c r="AK449" s="80">
        <v>0</v>
      </c>
      <c r="AL449" s="80">
        <v>0</v>
      </c>
      <c r="AM449" s="80">
        <v>0</v>
      </c>
    </row>
    <row r="450" spans="2:39" x14ac:dyDescent="0.35">
      <c r="B450" t="str">
        <f t="shared" si="315"/>
        <v>Orange County-1</v>
      </c>
      <c r="C450" t="str">
        <f t="shared" si="316"/>
        <v>Dec 2025-Orange County-1</v>
      </c>
      <c r="D450">
        <f t="shared" si="317"/>
        <v>1</v>
      </c>
      <c r="E450">
        <f t="shared" si="318"/>
        <v>1.04</v>
      </c>
      <c r="F450">
        <f t="shared" si="319"/>
        <v>4</v>
      </c>
      <c r="G450">
        <f t="shared" si="320"/>
        <v>1</v>
      </c>
      <c r="H450" t="str">
        <f>IF(V450="","",IFERROR(VLOOKUP(TRIM($V450),KEY!$B$2:$F$72,3,FALSE),""))</f>
        <v>Orange County</v>
      </c>
      <c r="I450" t="str">
        <f t="shared" si="321"/>
        <v>WEST-4</v>
      </c>
      <c r="J450" t="str">
        <f t="shared" si="322"/>
        <v>May 2026-WEST-4</v>
      </c>
      <c r="K450">
        <f t="shared" si="323"/>
        <v>4</v>
      </c>
      <c r="L450">
        <f t="shared" si="324"/>
        <v>4.1900000000000004</v>
      </c>
      <c r="M450">
        <f>IF(V450="","",IFERROR(VLOOKUP(TRIM($V450),KEY!$B$2:$F$72,5,FALSE),""))</f>
        <v>19</v>
      </c>
      <c r="N450">
        <f t="shared" si="325"/>
        <v>4</v>
      </c>
      <c r="O450" t="str">
        <f t="shared" si="326"/>
        <v>BMW-1</v>
      </c>
      <c r="P450">
        <f t="shared" si="327"/>
        <v>1</v>
      </c>
      <c r="Q450">
        <f t="shared" si="328"/>
        <v>1.07</v>
      </c>
      <c r="R450">
        <f t="shared" si="329"/>
        <v>7</v>
      </c>
      <c r="S450">
        <f t="shared" si="330"/>
        <v>1</v>
      </c>
      <c r="T450" t="str">
        <f>IF(V450="","",IFERROR(VLOOKUP(TRIM($V450),KEY!$B$2:$F$72,2,FALSE),""))</f>
        <v>BMW</v>
      </c>
      <c r="V450" s="80" t="s">
        <v>173</v>
      </c>
      <c r="W450" s="80">
        <v>147</v>
      </c>
      <c r="X450" s="80">
        <v>25</v>
      </c>
      <c r="Y450" s="80">
        <v>17</v>
      </c>
      <c r="Z450" s="80">
        <v>3</v>
      </c>
      <c r="AA450" s="80">
        <v>25</v>
      </c>
      <c r="AB450" s="80">
        <v>0</v>
      </c>
      <c r="AC450" s="80">
        <v>0</v>
      </c>
      <c r="AD450" s="80">
        <v>28</v>
      </c>
      <c r="AE450" s="80">
        <v>19</v>
      </c>
      <c r="AF450" s="80">
        <v>0</v>
      </c>
      <c r="AG450" s="80">
        <v>0</v>
      </c>
      <c r="AH450" s="80">
        <v>118</v>
      </c>
      <c r="AI450" s="80">
        <v>80</v>
      </c>
      <c r="AJ450" s="80">
        <v>0</v>
      </c>
      <c r="AK450" s="80">
        <v>1</v>
      </c>
      <c r="AL450" s="80">
        <v>0</v>
      </c>
      <c r="AM450" s="80">
        <v>1</v>
      </c>
    </row>
    <row r="451" spans="2:39" x14ac:dyDescent="0.35">
      <c r="B451" t="str">
        <f t="shared" si="315"/>
        <v>Orange County-2</v>
      </c>
      <c r="C451" t="str">
        <f t="shared" si="316"/>
        <v>Dec 2025-Orange County-2</v>
      </c>
      <c r="D451">
        <f t="shared" si="317"/>
        <v>2</v>
      </c>
      <c r="E451">
        <f t="shared" si="318"/>
        <v>2.0299999999999998</v>
      </c>
      <c r="F451">
        <f t="shared" si="319"/>
        <v>3</v>
      </c>
      <c r="G451">
        <f t="shared" si="320"/>
        <v>2</v>
      </c>
      <c r="H451" t="str">
        <f>IF(V451="","",IFERROR(VLOOKUP(TRIM($V451),KEY!$B$2:$F$72,3,FALSE),""))</f>
        <v>Orange County</v>
      </c>
      <c r="I451" t="str">
        <f t="shared" si="321"/>
        <v>WEST-11</v>
      </c>
      <c r="J451" t="str">
        <f t="shared" si="322"/>
        <v>May 2026-WEST-11</v>
      </c>
      <c r="K451">
        <f t="shared" si="323"/>
        <v>11</v>
      </c>
      <c r="L451">
        <f t="shared" si="324"/>
        <v>10.15</v>
      </c>
      <c r="M451">
        <f>IF(V451="","",IFERROR(VLOOKUP(TRIM($V451),KEY!$B$2:$F$72,5,FALSE),""))</f>
        <v>15</v>
      </c>
      <c r="N451">
        <f t="shared" si="325"/>
        <v>10</v>
      </c>
      <c r="O451" t="str">
        <f t="shared" si="326"/>
        <v>BMW-4</v>
      </c>
      <c r="P451">
        <f t="shared" si="327"/>
        <v>4</v>
      </c>
      <c r="Q451">
        <f t="shared" si="328"/>
        <v>4.05</v>
      </c>
      <c r="R451">
        <f t="shared" si="329"/>
        <v>5</v>
      </c>
      <c r="S451">
        <f t="shared" si="330"/>
        <v>4</v>
      </c>
      <c r="T451" t="str">
        <f>IF(V451="","",IFERROR(VLOOKUP(TRIM($V451),KEY!$B$2:$F$72,2,FALSE),""))</f>
        <v>BMW</v>
      </c>
      <c r="V451" s="80" t="s">
        <v>174</v>
      </c>
      <c r="W451" s="80">
        <v>75</v>
      </c>
      <c r="X451" s="80">
        <v>2</v>
      </c>
      <c r="Y451" s="80">
        <v>3</v>
      </c>
      <c r="Z451" s="80">
        <v>0</v>
      </c>
      <c r="AA451" s="80">
        <v>2</v>
      </c>
      <c r="AB451" s="80">
        <v>0</v>
      </c>
      <c r="AC451" s="80">
        <v>0</v>
      </c>
      <c r="AD451" s="80">
        <v>2</v>
      </c>
      <c r="AE451" s="80">
        <v>3</v>
      </c>
      <c r="AF451" s="80">
        <v>0</v>
      </c>
      <c r="AG451" s="80">
        <v>0</v>
      </c>
      <c r="AH451" s="80">
        <v>73</v>
      </c>
      <c r="AI451" s="80">
        <v>97</v>
      </c>
      <c r="AJ451" s="80">
        <v>0</v>
      </c>
      <c r="AK451" s="80">
        <v>0</v>
      </c>
      <c r="AL451" s="80">
        <v>0</v>
      </c>
      <c r="AM451" s="80">
        <v>0</v>
      </c>
    </row>
    <row r="452" spans="2:39" x14ac:dyDescent="0.35">
      <c r="B452" t="str">
        <f t="shared" si="315"/>
        <v>Orange County-8</v>
      </c>
      <c r="C452" t="str">
        <f t="shared" si="316"/>
        <v>Dec 2025-Orange County-8</v>
      </c>
      <c r="D452">
        <f t="shared" si="317"/>
        <v>8</v>
      </c>
      <c r="E452">
        <f t="shared" si="318"/>
        <v>5.07</v>
      </c>
      <c r="F452">
        <f t="shared" si="319"/>
        <v>7</v>
      </c>
      <c r="G452">
        <f t="shared" si="320"/>
        <v>5</v>
      </c>
      <c r="H452" t="str">
        <f>IF(V452="","",IFERROR(VLOOKUP(TRIM($V452),KEY!$B$2:$F$72,3,FALSE),""))</f>
        <v>Orange County</v>
      </c>
      <c r="I452" t="str">
        <f t="shared" si="321"/>
        <v>WEST-53</v>
      </c>
      <c r="J452" t="str">
        <f t="shared" si="322"/>
        <v>May 2026-WEST-53</v>
      </c>
      <c r="K452">
        <f t="shared" si="323"/>
        <v>53</v>
      </c>
      <c r="L452">
        <f t="shared" si="324"/>
        <v>14.56</v>
      </c>
      <c r="M452">
        <f>IF(V452="","",IFERROR(VLOOKUP(TRIM($V452),KEY!$B$2:$F$72,5,FALSE),""))</f>
        <v>56</v>
      </c>
      <c r="N452">
        <f t="shared" si="325"/>
        <v>14</v>
      </c>
      <c r="O452" t="str">
        <f t="shared" si="326"/>
        <v>Subaru-1</v>
      </c>
      <c r="P452">
        <f t="shared" si="327"/>
        <v>1</v>
      </c>
      <c r="Q452">
        <f t="shared" si="328"/>
        <v>1.01</v>
      </c>
      <c r="R452">
        <f t="shared" si="329"/>
        <v>1</v>
      </c>
      <c r="S452">
        <f t="shared" si="330"/>
        <v>1</v>
      </c>
      <c r="T452" t="str">
        <f>IF(V452="","",IFERROR(VLOOKUP(TRIM($V452),KEY!$B$2:$F$72,2,FALSE),""))</f>
        <v>Subaru</v>
      </c>
      <c r="V452" s="80" t="s">
        <v>175</v>
      </c>
      <c r="W452" s="80">
        <v>18</v>
      </c>
      <c r="X452" s="80">
        <v>0</v>
      </c>
      <c r="Y452" s="80">
        <v>0</v>
      </c>
      <c r="Z452" s="80">
        <v>0</v>
      </c>
      <c r="AA452" s="80">
        <v>0</v>
      </c>
      <c r="AB452" s="80">
        <v>0</v>
      </c>
      <c r="AC452" s="80">
        <v>1</v>
      </c>
      <c r="AD452" s="80">
        <v>1</v>
      </c>
      <c r="AE452" s="80">
        <v>6</v>
      </c>
      <c r="AF452" s="80">
        <v>0</v>
      </c>
      <c r="AG452" s="80">
        <v>0</v>
      </c>
      <c r="AH452" s="80">
        <v>17</v>
      </c>
      <c r="AI452" s="80">
        <v>94</v>
      </c>
      <c r="AJ452" s="80">
        <v>0</v>
      </c>
      <c r="AK452" s="80">
        <v>0</v>
      </c>
      <c r="AL452" s="80">
        <v>0</v>
      </c>
      <c r="AM452" s="80">
        <v>0</v>
      </c>
    </row>
    <row r="453" spans="2:39" x14ac:dyDescent="0.35">
      <c r="B453" t="str">
        <f t="shared" si="315"/>
        <v>Orange County-5</v>
      </c>
      <c r="C453" t="str">
        <f t="shared" si="316"/>
        <v>Dec 2025-Orange County-5</v>
      </c>
      <c r="D453">
        <f t="shared" si="317"/>
        <v>5</v>
      </c>
      <c r="E453">
        <f t="shared" si="318"/>
        <v>5.01</v>
      </c>
      <c r="F453">
        <f t="shared" si="319"/>
        <v>1</v>
      </c>
      <c r="G453">
        <f t="shared" si="320"/>
        <v>5</v>
      </c>
      <c r="H453" t="str">
        <f>IF(V453="","",IFERROR(VLOOKUP(TRIM($V453),KEY!$B$2:$F$72,3,FALSE),""))</f>
        <v>Orange County</v>
      </c>
      <c r="I453" t="str">
        <f t="shared" si="321"/>
        <v>WEST-17</v>
      </c>
      <c r="J453" t="str">
        <f t="shared" si="322"/>
        <v>May 2026-WEST-17</v>
      </c>
      <c r="K453">
        <f t="shared" si="323"/>
        <v>17</v>
      </c>
      <c r="L453">
        <f t="shared" si="324"/>
        <v>14.05</v>
      </c>
      <c r="M453">
        <f>IF(V453="","",IFERROR(VLOOKUP(TRIM($V453),KEY!$B$2:$F$72,5,FALSE),""))</f>
        <v>5</v>
      </c>
      <c r="N453">
        <f t="shared" si="325"/>
        <v>14</v>
      </c>
      <c r="O453" t="str">
        <f t="shared" si="326"/>
        <v>Audi-4</v>
      </c>
      <c r="P453">
        <f t="shared" si="327"/>
        <v>4</v>
      </c>
      <c r="Q453">
        <f t="shared" si="328"/>
        <v>3.03</v>
      </c>
      <c r="R453">
        <f t="shared" si="329"/>
        <v>3</v>
      </c>
      <c r="S453">
        <f t="shared" si="330"/>
        <v>3</v>
      </c>
      <c r="T453" t="str">
        <f>IF(V453="","",IFERROR(VLOOKUP(TRIM($V453),KEY!$B$2:$F$72,2,FALSE),""))</f>
        <v>Audi</v>
      </c>
      <c r="V453" s="80" t="s">
        <v>178</v>
      </c>
      <c r="W453" s="80">
        <v>25</v>
      </c>
      <c r="X453" s="80">
        <v>0</v>
      </c>
      <c r="Y453" s="80">
        <v>0</v>
      </c>
      <c r="Z453" s="80">
        <v>0</v>
      </c>
      <c r="AA453" s="80">
        <v>0</v>
      </c>
      <c r="AB453" s="80">
        <v>0</v>
      </c>
      <c r="AC453" s="80">
        <v>0</v>
      </c>
      <c r="AD453" s="80">
        <v>0</v>
      </c>
      <c r="AE453" s="80">
        <v>0</v>
      </c>
      <c r="AF453" s="80">
        <v>0</v>
      </c>
      <c r="AG453" s="80">
        <v>0</v>
      </c>
      <c r="AH453" s="80">
        <v>25</v>
      </c>
      <c r="AI453" s="80">
        <v>100</v>
      </c>
      <c r="AJ453" s="80">
        <v>0</v>
      </c>
      <c r="AK453" s="80">
        <v>0</v>
      </c>
      <c r="AL453" s="80">
        <v>0</v>
      </c>
      <c r="AM453" s="80">
        <v>0</v>
      </c>
    </row>
    <row r="454" spans="2:39" x14ac:dyDescent="0.35">
      <c r="B454" t="str">
        <f t="shared" si="315"/>
        <v>Orange County-4</v>
      </c>
      <c r="C454" t="str">
        <f t="shared" si="316"/>
        <v>Dec 2025-Orange County-4</v>
      </c>
      <c r="D454">
        <f t="shared" si="317"/>
        <v>4</v>
      </c>
      <c r="E454">
        <f t="shared" si="318"/>
        <v>4.0199999999999996</v>
      </c>
      <c r="F454">
        <f t="shared" si="319"/>
        <v>2</v>
      </c>
      <c r="G454">
        <f t="shared" si="320"/>
        <v>4</v>
      </c>
      <c r="H454" t="str">
        <f>IF(V454="","",IFERROR(VLOOKUP(TRIM($V454),KEY!$B$2:$F$72,3,FALSE),""))</f>
        <v>Orange County</v>
      </c>
      <c r="I454" t="str">
        <f t="shared" si="321"/>
        <v>WEST-13</v>
      </c>
      <c r="J454" t="str">
        <f t="shared" si="322"/>
        <v>May 2026-WEST-13</v>
      </c>
      <c r="K454">
        <f t="shared" si="323"/>
        <v>13</v>
      </c>
      <c r="L454">
        <f t="shared" si="324"/>
        <v>13.08</v>
      </c>
      <c r="M454">
        <f>IF(V454="","",IFERROR(VLOOKUP(TRIM($V454),KEY!$B$2:$F$72,5,FALSE),""))</f>
        <v>8</v>
      </c>
      <c r="N454">
        <f t="shared" si="325"/>
        <v>13</v>
      </c>
      <c r="O454" t="str">
        <f t="shared" si="326"/>
        <v>Audi-3</v>
      </c>
      <c r="P454">
        <f t="shared" si="327"/>
        <v>3</v>
      </c>
      <c r="Q454">
        <f t="shared" si="328"/>
        <v>2.06</v>
      </c>
      <c r="R454">
        <f t="shared" si="329"/>
        <v>6</v>
      </c>
      <c r="S454">
        <f t="shared" si="330"/>
        <v>2</v>
      </c>
      <c r="T454" t="str">
        <f>IF(V454="","",IFERROR(VLOOKUP(TRIM($V454),KEY!$B$2:$F$72,2,FALSE),""))</f>
        <v>Audi</v>
      </c>
      <c r="V454" s="80" t="s">
        <v>177</v>
      </c>
      <c r="W454" s="80">
        <v>65</v>
      </c>
      <c r="X454" s="80">
        <v>1</v>
      </c>
      <c r="Y454" s="80">
        <v>2</v>
      </c>
      <c r="Z454" s="80">
        <v>0</v>
      </c>
      <c r="AA454" s="80">
        <v>1</v>
      </c>
      <c r="AB454" s="80">
        <v>0</v>
      </c>
      <c r="AC454" s="80">
        <v>1</v>
      </c>
      <c r="AD454" s="80">
        <v>2</v>
      </c>
      <c r="AE454" s="80">
        <v>3</v>
      </c>
      <c r="AF454" s="80">
        <v>0</v>
      </c>
      <c r="AG454" s="80">
        <v>0</v>
      </c>
      <c r="AH454" s="80">
        <v>63</v>
      </c>
      <c r="AI454" s="80">
        <v>97</v>
      </c>
      <c r="AJ454" s="80">
        <v>0</v>
      </c>
      <c r="AK454" s="80">
        <v>0</v>
      </c>
      <c r="AL454" s="80">
        <v>0</v>
      </c>
      <c r="AM454" s="80">
        <v>0</v>
      </c>
    </row>
    <row r="455" spans="2:39" x14ac:dyDescent="0.35">
      <c r="B455" t="str">
        <f t="shared" si="315"/>
        <v>Orange County-6</v>
      </c>
      <c r="C455" t="str">
        <f t="shared" si="316"/>
        <v>Dec 2025-Orange County-6</v>
      </c>
      <c r="D455">
        <f t="shared" si="317"/>
        <v>6</v>
      </c>
      <c r="E455">
        <f t="shared" si="318"/>
        <v>5.05</v>
      </c>
      <c r="F455">
        <f t="shared" si="319"/>
        <v>5</v>
      </c>
      <c r="G455">
        <f t="shared" si="320"/>
        <v>5</v>
      </c>
      <c r="H455" t="str">
        <f>IF(V455="","",IFERROR(VLOOKUP(TRIM($V455),KEY!$B$2:$F$72,3,FALSE),""))</f>
        <v>Orange County</v>
      </c>
      <c r="I455" t="str">
        <f t="shared" si="321"/>
        <v>WEST-24</v>
      </c>
      <c r="J455" t="str">
        <f t="shared" si="322"/>
        <v>May 2026-WEST-24</v>
      </c>
      <c r="K455">
        <f t="shared" si="323"/>
        <v>24</v>
      </c>
      <c r="L455">
        <f t="shared" si="324"/>
        <v>14.2</v>
      </c>
      <c r="M455">
        <f>IF(V455="","",IFERROR(VLOOKUP(TRIM($V455),KEY!$B$2:$F$72,5,FALSE),""))</f>
        <v>20</v>
      </c>
      <c r="N455">
        <f t="shared" si="325"/>
        <v>14</v>
      </c>
      <c r="O455" t="str">
        <f t="shared" si="326"/>
        <v>MINI-3</v>
      </c>
      <c r="P455">
        <f t="shared" si="327"/>
        <v>3</v>
      </c>
      <c r="Q455">
        <f t="shared" si="328"/>
        <v>2.0099999999999998</v>
      </c>
      <c r="R455">
        <f t="shared" si="329"/>
        <v>1</v>
      </c>
      <c r="S455">
        <f t="shared" si="330"/>
        <v>2</v>
      </c>
      <c r="T455" t="str">
        <f>IF(V455="","",IFERROR(VLOOKUP(TRIM($V455),KEY!$B$2:$F$72,2,FALSE),""))</f>
        <v>MINI</v>
      </c>
      <c r="V455" s="80" t="s">
        <v>179</v>
      </c>
      <c r="W455" s="80">
        <v>7</v>
      </c>
      <c r="X455" s="80">
        <v>0</v>
      </c>
      <c r="Y455" s="80">
        <v>0</v>
      </c>
      <c r="Z455" s="80">
        <v>0</v>
      </c>
      <c r="AA455" s="80">
        <v>0</v>
      </c>
      <c r="AB455" s="80">
        <v>0</v>
      </c>
      <c r="AC455" s="80">
        <v>0</v>
      </c>
      <c r="AD455" s="80">
        <v>0</v>
      </c>
      <c r="AE455" s="80">
        <v>0</v>
      </c>
      <c r="AF455" s="80">
        <v>7</v>
      </c>
      <c r="AG455" s="80">
        <v>0</v>
      </c>
      <c r="AH455" s="80">
        <v>0</v>
      </c>
      <c r="AI455" s="80">
        <v>100</v>
      </c>
      <c r="AJ455" s="80">
        <v>0</v>
      </c>
      <c r="AK455" s="80">
        <v>0</v>
      </c>
      <c r="AL455" s="80">
        <v>0</v>
      </c>
      <c r="AM455" s="80">
        <v>0</v>
      </c>
    </row>
    <row r="456" spans="2:39" x14ac:dyDescent="0.35">
      <c r="B456" t="str">
        <f t="shared" si="315"/>
        <v>Southern California-4</v>
      </c>
      <c r="C456" t="str">
        <f t="shared" si="316"/>
        <v>Dec 2025-Southern California-4</v>
      </c>
      <c r="D456">
        <f t="shared" si="317"/>
        <v>4</v>
      </c>
      <c r="E456">
        <f t="shared" si="318"/>
        <v>4.01</v>
      </c>
      <c r="F456">
        <f t="shared" si="319"/>
        <v>1</v>
      </c>
      <c r="G456">
        <f t="shared" si="320"/>
        <v>4</v>
      </c>
      <c r="H456" t="str">
        <f>IF(V456="","",IFERROR(VLOOKUP(TRIM($V456),KEY!$B$2:$F$72,3,FALSE),""))</f>
        <v>Southern California</v>
      </c>
      <c r="I456" t="str">
        <f t="shared" si="321"/>
        <v>WEST-14</v>
      </c>
      <c r="J456" t="str">
        <f t="shared" si="322"/>
        <v>May 2026-WEST-14</v>
      </c>
      <c r="K456">
        <f t="shared" si="323"/>
        <v>14</v>
      </c>
      <c r="L456">
        <f t="shared" si="324"/>
        <v>14.02</v>
      </c>
      <c r="M456">
        <f>IF(V456="","",IFERROR(VLOOKUP(TRIM($V456),KEY!$B$2:$F$72,5,FALSE),""))</f>
        <v>2</v>
      </c>
      <c r="N456">
        <f t="shared" si="325"/>
        <v>14</v>
      </c>
      <c r="O456" t="str">
        <f t="shared" si="326"/>
        <v>Acura-2</v>
      </c>
      <c r="P456">
        <f t="shared" si="327"/>
        <v>2</v>
      </c>
      <c r="Q456">
        <f t="shared" si="328"/>
        <v>2.02</v>
      </c>
      <c r="R456">
        <f t="shared" si="329"/>
        <v>2</v>
      </c>
      <c r="S456">
        <f t="shared" si="330"/>
        <v>2</v>
      </c>
      <c r="T456" t="str">
        <f>IF(V456="","",IFERROR(VLOOKUP(TRIM($V456),KEY!$B$2:$F$72,2,FALSE),""))</f>
        <v>Acura</v>
      </c>
      <c r="V456" s="80" t="s">
        <v>180</v>
      </c>
      <c r="W456" s="80">
        <v>12</v>
      </c>
      <c r="X456" s="80">
        <v>0</v>
      </c>
      <c r="Y456" s="80">
        <v>0</v>
      </c>
      <c r="Z456" s="80">
        <v>0</v>
      </c>
      <c r="AA456" s="80">
        <v>0</v>
      </c>
      <c r="AB456" s="80">
        <v>0</v>
      </c>
      <c r="AC456" s="80">
        <v>0</v>
      </c>
      <c r="AD456" s="80">
        <v>0</v>
      </c>
      <c r="AE456" s="80">
        <v>0</v>
      </c>
      <c r="AF456" s="80">
        <v>0</v>
      </c>
      <c r="AG456" s="80">
        <v>0</v>
      </c>
      <c r="AH456" s="80">
        <v>12</v>
      </c>
      <c r="AI456" s="80">
        <v>100</v>
      </c>
      <c r="AJ456" s="80">
        <v>0</v>
      </c>
      <c r="AK456" s="80">
        <v>0</v>
      </c>
      <c r="AL456" s="80">
        <v>0</v>
      </c>
      <c r="AM456" s="80">
        <v>0</v>
      </c>
    </row>
    <row r="457" spans="2:39" x14ac:dyDescent="0.35">
      <c r="B457" t="str">
        <f t="shared" si="315"/>
        <v>Southern California-7</v>
      </c>
      <c r="C457" t="str">
        <f t="shared" si="316"/>
        <v>Dec 2025-Southern California-7</v>
      </c>
      <c r="D457">
        <f t="shared" si="317"/>
        <v>7</v>
      </c>
      <c r="E457">
        <f t="shared" si="318"/>
        <v>4.05</v>
      </c>
      <c r="F457">
        <f t="shared" si="319"/>
        <v>5</v>
      </c>
      <c r="G457">
        <f t="shared" si="320"/>
        <v>4</v>
      </c>
      <c r="H457" t="str">
        <f>IF(V457="","",IFERROR(VLOOKUP(TRIM($V457),KEY!$B$2:$F$72,3,FALSE),""))</f>
        <v>Southern California</v>
      </c>
      <c r="I457" t="str">
        <f t="shared" si="321"/>
        <v>WEST-28</v>
      </c>
      <c r="J457" t="str">
        <f t="shared" si="322"/>
        <v>May 2026-WEST-28</v>
      </c>
      <c r="K457">
        <f t="shared" si="323"/>
        <v>28</v>
      </c>
      <c r="L457">
        <f t="shared" si="324"/>
        <v>14.25</v>
      </c>
      <c r="M457">
        <f>IF(V457="","",IFERROR(VLOOKUP(TRIM($V457),KEY!$B$2:$F$72,5,FALSE),""))</f>
        <v>25</v>
      </c>
      <c r="N457">
        <f t="shared" si="325"/>
        <v>14</v>
      </c>
      <c r="O457" t="str">
        <f t="shared" si="326"/>
        <v>Honda-2</v>
      </c>
      <c r="P457">
        <f t="shared" si="327"/>
        <v>2</v>
      </c>
      <c r="Q457">
        <f t="shared" si="328"/>
        <v>1.04</v>
      </c>
      <c r="R457">
        <f t="shared" si="329"/>
        <v>4</v>
      </c>
      <c r="S457">
        <f t="shared" si="330"/>
        <v>1</v>
      </c>
      <c r="T457" t="str">
        <f>IF(V457="","",IFERROR(VLOOKUP(TRIM($V457),KEY!$B$2:$F$72,2,FALSE),""))</f>
        <v>Honda</v>
      </c>
      <c r="V457" s="80" t="s">
        <v>181</v>
      </c>
      <c r="W457" s="80">
        <v>21</v>
      </c>
      <c r="X457" s="80">
        <v>0</v>
      </c>
      <c r="Y457" s="80">
        <v>0</v>
      </c>
      <c r="Z457" s="80">
        <v>0</v>
      </c>
      <c r="AA457" s="80">
        <v>0</v>
      </c>
      <c r="AB457" s="80">
        <v>0</v>
      </c>
      <c r="AC457" s="80">
        <v>0</v>
      </c>
      <c r="AD457" s="80">
        <v>0</v>
      </c>
      <c r="AE457" s="80">
        <v>0</v>
      </c>
      <c r="AF457" s="80">
        <v>0</v>
      </c>
      <c r="AG457" s="80">
        <v>0</v>
      </c>
      <c r="AH457" s="80">
        <v>21</v>
      </c>
      <c r="AI457" s="80">
        <v>100</v>
      </c>
      <c r="AJ457" s="80">
        <v>0</v>
      </c>
      <c r="AK457" s="80">
        <v>0</v>
      </c>
      <c r="AL457" s="80">
        <v>0</v>
      </c>
      <c r="AM457" s="80">
        <v>0</v>
      </c>
    </row>
    <row r="458" spans="2:39" x14ac:dyDescent="0.35">
      <c r="B458" t="str">
        <f t="shared" si="315"/>
        <v>Southern California-9</v>
      </c>
      <c r="C458" t="str">
        <f t="shared" si="316"/>
        <v>Dec 2025-Southern California-9</v>
      </c>
      <c r="D458">
        <f t="shared" si="317"/>
        <v>9</v>
      </c>
      <c r="E458">
        <f t="shared" si="318"/>
        <v>4.07</v>
      </c>
      <c r="F458">
        <f t="shared" si="319"/>
        <v>7</v>
      </c>
      <c r="G458">
        <f t="shared" si="320"/>
        <v>4</v>
      </c>
      <c r="H458" t="str">
        <f>IF(V458="","",IFERROR(VLOOKUP(TRIM($V458),KEY!$B$2:$F$72,3,FALSE),""))</f>
        <v>Southern California</v>
      </c>
      <c r="I458" t="str">
        <f t="shared" si="321"/>
        <v>WEST-34</v>
      </c>
      <c r="J458" t="str">
        <f t="shared" si="322"/>
        <v>May 2026-WEST-34</v>
      </c>
      <c r="K458">
        <f t="shared" si="323"/>
        <v>34</v>
      </c>
      <c r="L458">
        <f t="shared" si="324"/>
        <v>14.33</v>
      </c>
      <c r="M458">
        <f>IF(V458="","",IFERROR(VLOOKUP(TRIM($V458),KEY!$B$2:$F$72,5,FALSE),""))</f>
        <v>33</v>
      </c>
      <c r="N458">
        <f t="shared" si="325"/>
        <v>14</v>
      </c>
      <c r="O458" t="str">
        <f t="shared" si="326"/>
        <v>Lexus-2</v>
      </c>
      <c r="P458">
        <f t="shared" si="327"/>
        <v>2</v>
      </c>
      <c r="Q458">
        <f t="shared" si="328"/>
        <v>1.04</v>
      </c>
      <c r="R458">
        <f t="shared" si="329"/>
        <v>4</v>
      </c>
      <c r="S458">
        <f t="shared" si="330"/>
        <v>1</v>
      </c>
      <c r="T458" t="str">
        <f>IF(V458="","",IFERROR(VLOOKUP(TRIM($V458),KEY!$B$2:$F$72,2,FALSE),""))</f>
        <v>Lexus</v>
      </c>
      <c r="V458" s="80" t="s">
        <v>182</v>
      </c>
      <c r="W458" s="80">
        <v>33</v>
      </c>
      <c r="X458" s="80">
        <v>0</v>
      </c>
      <c r="Y458" s="80">
        <v>0</v>
      </c>
      <c r="Z458" s="80">
        <v>0</v>
      </c>
      <c r="AA458" s="80">
        <v>0</v>
      </c>
      <c r="AB458" s="80">
        <v>0</v>
      </c>
      <c r="AC458" s="80">
        <v>0</v>
      </c>
      <c r="AD458" s="80">
        <v>0</v>
      </c>
      <c r="AE458" s="80">
        <v>0</v>
      </c>
      <c r="AF458" s="80">
        <v>0</v>
      </c>
      <c r="AG458" s="80">
        <v>0</v>
      </c>
      <c r="AH458" s="80">
        <v>33</v>
      </c>
      <c r="AI458" s="80">
        <v>100</v>
      </c>
      <c r="AJ458" s="80">
        <v>0</v>
      </c>
      <c r="AK458" s="80">
        <v>0</v>
      </c>
      <c r="AL458" s="80">
        <v>0</v>
      </c>
      <c r="AM458" s="80">
        <v>0</v>
      </c>
    </row>
    <row r="459" spans="2:39" x14ac:dyDescent="0.35">
      <c r="B459" t="str">
        <f t="shared" si="315"/>
        <v>Southern California-10</v>
      </c>
      <c r="C459" t="str">
        <f t="shared" si="316"/>
        <v>Dec 2025-Southern California-10</v>
      </c>
      <c r="D459">
        <f t="shared" si="317"/>
        <v>10</v>
      </c>
      <c r="E459">
        <f t="shared" si="318"/>
        <v>4.08</v>
      </c>
      <c r="F459">
        <f t="shared" si="319"/>
        <v>8</v>
      </c>
      <c r="G459">
        <f t="shared" si="320"/>
        <v>4</v>
      </c>
      <c r="H459" t="str">
        <f>IF(V459="","",IFERROR(VLOOKUP(TRIM($V459),KEY!$B$2:$F$72,3,FALSE),""))</f>
        <v>Southern California</v>
      </c>
      <c r="I459" t="str">
        <f t="shared" si="321"/>
        <v>WEST-36</v>
      </c>
      <c r="J459" t="str">
        <f t="shared" si="322"/>
        <v>May 2026-WEST-36</v>
      </c>
      <c r="K459">
        <f t="shared" si="323"/>
        <v>36</v>
      </c>
      <c r="L459">
        <f t="shared" si="324"/>
        <v>14.35</v>
      </c>
      <c r="M459">
        <f>IF(V459="","",IFERROR(VLOOKUP(TRIM($V459),KEY!$B$2:$F$72,5,FALSE),""))</f>
        <v>35</v>
      </c>
      <c r="N459">
        <f t="shared" si="325"/>
        <v>14</v>
      </c>
      <c r="O459" t="str">
        <f t="shared" si="326"/>
        <v>Mazda-1</v>
      </c>
      <c r="P459">
        <f t="shared" si="327"/>
        <v>1</v>
      </c>
      <c r="Q459">
        <f t="shared" si="328"/>
        <v>1.01</v>
      </c>
      <c r="R459">
        <f t="shared" si="329"/>
        <v>1</v>
      </c>
      <c r="S459">
        <f t="shared" si="330"/>
        <v>1</v>
      </c>
      <c r="T459" t="str">
        <f>IF(V459="","",IFERROR(VLOOKUP(TRIM($V459),KEY!$B$2:$F$72,2,FALSE),""))</f>
        <v>Mazda</v>
      </c>
      <c r="V459" s="80" t="s">
        <v>184</v>
      </c>
      <c r="W459" s="80">
        <v>28</v>
      </c>
      <c r="X459" s="80">
        <v>0</v>
      </c>
      <c r="Y459" s="80">
        <v>0</v>
      </c>
      <c r="Z459" s="80">
        <v>0</v>
      </c>
      <c r="AA459" s="80">
        <v>0</v>
      </c>
      <c r="AB459" s="80">
        <v>0</v>
      </c>
      <c r="AC459" s="80">
        <v>0</v>
      </c>
      <c r="AD459" s="80">
        <v>0</v>
      </c>
      <c r="AE459" s="80">
        <v>0</v>
      </c>
      <c r="AF459" s="80">
        <v>0</v>
      </c>
      <c r="AG459" s="80">
        <v>0</v>
      </c>
      <c r="AH459" s="80">
        <v>28</v>
      </c>
      <c r="AI459" s="80">
        <v>100</v>
      </c>
      <c r="AJ459" s="80">
        <v>0</v>
      </c>
      <c r="AK459" s="80">
        <v>0</v>
      </c>
      <c r="AL459" s="80">
        <v>0</v>
      </c>
      <c r="AM459" s="80">
        <v>0</v>
      </c>
    </row>
    <row r="460" spans="2:39" x14ac:dyDescent="0.35">
      <c r="B460" t="str">
        <f t="shared" si="315"/>
        <v>Southern California-6</v>
      </c>
      <c r="C460" t="str">
        <f t="shared" si="316"/>
        <v>Dec 2025-Southern California-6</v>
      </c>
      <c r="D460">
        <f t="shared" si="317"/>
        <v>6</v>
      </c>
      <c r="E460">
        <f t="shared" si="318"/>
        <v>4.04</v>
      </c>
      <c r="F460">
        <f t="shared" si="319"/>
        <v>4</v>
      </c>
      <c r="G460">
        <f t="shared" si="320"/>
        <v>4</v>
      </c>
      <c r="H460" t="str">
        <f>IF(V460="","",IFERROR(VLOOKUP(TRIM($V460),KEY!$B$2:$F$72,3,FALSE),""))</f>
        <v>Southern California</v>
      </c>
      <c r="I460" t="str">
        <f t="shared" si="321"/>
        <v>WEST-21</v>
      </c>
      <c r="J460" t="str">
        <f t="shared" si="322"/>
        <v>May 2026-WEST-21</v>
      </c>
      <c r="K460">
        <f t="shared" si="323"/>
        <v>21</v>
      </c>
      <c r="L460">
        <f t="shared" si="324"/>
        <v>14.16</v>
      </c>
      <c r="M460">
        <f>IF(V460="","",IFERROR(VLOOKUP(TRIM($V460),KEY!$B$2:$F$72,5,FALSE),""))</f>
        <v>16</v>
      </c>
      <c r="N460">
        <f t="shared" si="325"/>
        <v>14</v>
      </c>
      <c r="O460" t="str">
        <f t="shared" si="326"/>
        <v>BMW-6</v>
      </c>
      <c r="P460">
        <f t="shared" si="327"/>
        <v>6</v>
      </c>
      <c r="Q460">
        <f t="shared" si="328"/>
        <v>6.06</v>
      </c>
      <c r="R460">
        <f t="shared" si="329"/>
        <v>6</v>
      </c>
      <c r="S460">
        <f t="shared" si="330"/>
        <v>6</v>
      </c>
      <c r="T460" t="str">
        <f>IF(V460="","",IFERROR(VLOOKUP(TRIM($V460),KEY!$B$2:$F$72,2,FALSE),""))</f>
        <v>BMW</v>
      </c>
      <c r="V460" s="80" t="s">
        <v>186</v>
      </c>
      <c r="W460" s="80">
        <v>61</v>
      </c>
      <c r="X460" s="80">
        <v>0</v>
      </c>
      <c r="Y460" s="80">
        <v>0</v>
      </c>
      <c r="Z460" s="80">
        <v>0</v>
      </c>
      <c r="AA460" s="80">
        <v>0</v>
      </c>
      <c r="AB460" s="80">
        <v>0</v>
      </c>
      <c r="AC460" s="80">
        <v>0</v>
      </c>
      <c r="AD460" s="80">
        <v>0</v>
      </c>
      <c r="AE460" s="80">
        <v>0</v>
      </c>
      <c r="AF460" s="80">
        <v>0</v>
      </c>
      <c r="AG460" s="80">
        <v>0</v>
      </c>
      <c r="AH460" s="80">
        <v>61</v>
      </c>
      <c r="AI460" s="80">
        <v>100</v>
      </c>
      <c r="AJ460" s="80">
        <v>0</v>
      </c>
      <c r="AK460" s="80">
        <v>0</v>
      </c>
      <c r="AL460" s="80">
        <v>0</v>
      </c>
      <c r="AM460" s="80">
        <v>0</v>
      </c>
    </row>
    <row r="461" spans="2:39" x14ac:dyDescent="0.35">
      <c r="B461" t="str">
        <f t="shared" si="315"/>
        <v>Southern California-2</v>
      </c>
      <c r="C461" t="str">
        <f t="shared" si="316"/>
        <v>Dec 2025-Southern California-2</v>
      </c>
      <c r="D461">
        <f t="shared" si="317"/>
        <v>2</v>
      </c>
      <c r="E461">
        <f t="shared" si="318"/>
        <v>2.0299999999999998</v>
      </c>
      <c r="F461">
        <f t="shared" si="319"/>
        <v>3</v>
      </c>
      <c r="G461">
        <f t="shared" si="320"/>
        <v>2</v>
      </c>
      <c r="H461" t="str">
        <f>IF(V461="","",IFERROR(VLOOKUP(TRIM($V461),KEY!$B$2:$F$72,3,FALSE),""))</f>
        <v>Southern California</v>
      </c>
      <c r="I461" t="str">
        <f t="shared" si="321"/>
        <v>WEST-7</v>
      </c>
      <c r="J461" t="str">
        <f t="shared" si="322"/>
        <v>May 2026-WEST-7</v>
      </c>
      <c r="K461">
        <f t="shared" si="323"/>
        <v>7</v>
      </c>
      <c r="L461">
        <f t="shared" si="324"/>
        <v>7.14</v>
      </c>
      <c r="M461">
        <f>IF(V461="","",IFERROR(VLOOKUP(TRIM($V461),KEY!$B$2:$F$72,5,FALSE),""))</f>
        <v>14</v>
      </c>
      <c r="N461">
        <f t="shared" si="325"/>
        <v>7</v>
      </c>
      <c r="O461" t="str">
        <f t="shared" si="326"/>
        <v>BMW-3</v>
      </c>
      <c r="P461">
        <f t="shared" si="327"/>
        <v>3</v>
      </c>
      <c r="Q461">
        <f t="shared" si="328"/>
        <v>3.04</v>
      </c>
      <c r="R461">
        <f t="shared" si="329"/>
        <v>4</v>
      </c>
      <c r="S461">
        <f t="shared" si="330"/>
        <v>3</v>
      </c>
      <c r="T461" t="str">
        <f>IF(V461="","",IFERROR(VLOOKUP(TRIM($V461),KEY!$B$2:$F$72,2,FALSE),""))</f>
        <v>BMW</v>
      </c>
      <c r="V461" s="78" t="s">
        <v>185</v>
      </c>
      <c r="W461" s="80">
        <v>22</v>
      </c>
      <c r="X461" s="80">
        <v>1</v>
      </c>
      <c r="Y461" s="80">
        <v>5</v>
      </c>
      <c r="Z461" s="80">
        <v>0</v>
      </c>
      <c r="AA461" s="80">
        <v>1</v>
      </c>
      <c r="AB461" s="80">
        <v>0</v>
      </c>
      <c r="AC461" s="80">
        <v>0</v>
      </c>
      <c r="AD461" s="80">
        <v>1</v>
      </c>
      <c r="AE461" s="80">
        <v>5</v>
      </c>
      <c r="AF461" s="80">
        <v>0</v>
      </c>
      <c r="AG461" s="80">
        <v>0</v>
      </c>
      <c r="AH461" s="80">
        <v>21</v>
      </c>
      <c r="AI461" s="80">
        <v>95</v>
      </c>
      <c r="AJ461" s="80">
        <v>0</v>
      </c>
      <c r="AK461" s="80">
        <v>0</v>
      </c>
      <c r="AL461" s="80">
        <v>0</v>
      </c>
      <c r="AM461" s="80">
        <v>0</v>
      </c>
    </row>
    <row r="462" spans="2:39" x14ac:dyDescent="0.35">
      <c r="B462" t="str">
        <f t="shared" si="315"/>
        <v>Southern California-8</v>
      </c>
      <c r="C462" t="str">
        <f t="shared" si="316"/>
        <v>Dec 2025-Southern California-8</v>
      </c>
      <c r="D462">
        <f t="shared" si="317"/>
        <v>8</v>
      </c>
      <c r="E462">
        <f t="shared" si="318"/>
        <v>4.0599999999999996</v>
      </c>
      <c r="F462">
        <f t="shared" si="319"/>
        <v>6</v>
      </c>
      <c r="G462">
        <f t="shared" si="320"/>
        <v>4</v>
      </c>
      <c r="H462" t="str">
        <f>IF(V462="","",IFERROR(VLOOKUP(TRIM($V462),KEY!$B$2:$F$72,3,FALSE),""))</f>
        <v>Southern California</v>
      </c>
      <c r="I462" t="str">
        <f t="shared" si="321"/>
        <v>WEST-29</v>
      </c>
      <c r="J462" t="str">
        <f t="shared" si="322"/>
        <v>May 2026-WEST-29</v>
      </c>
      <c r="K462">
        <f t="shared" si="323"/>
        <v>29</v>
      </c>
      <c r="L462">
        <f t="shared" si="324"/>
        <v>14.26</v>
      </c>
      <c r="M462">
        <f>IF(V462="","",IFERROR(VLOOKUP(TRIM($V462),KEY!$B$2:$F$72,5,FALSE),""))</f>
        <v>26</v>
      </c>
      <c r="N462">
        <f t="shared" si="325"/>
        <v>14</v>
      </c>
      <c r="O462" t="str">
        <f t="shared" si="326"/>
        <v>Toyota-2</v>
      </c>
      <c r="P462">
        <f t="shared" si="327"/>
        <v>2</v>
      </c>
      <c r="Q462">
        <f t="shared" si="328"/>
        <v>2.02</v>
      </c>
      <c r="R462">
        <f t="shared" si="329"/>
        <v>2</v>
      </c>
      <c r="S462">
        <f t="shared" si="330"/>
        <v>2</v>
      </c>
      <c r="T462" t="str">
        <f>IF(V462="","",IFERROR(VLOOKUP(TRIM($V462),KEY!$B$2:$F$72,2,FALSE),""))</f>
        <v>Toyota</v>
      </c>
      <c r="V462" s="80" t="s">
        <v>183</v>
      </c>
      <c r="W462" s="80">
        <v>14</v>
      </c>
      <c r="X462" s="80">
        <v>0</v>
      </c>
      <c r="Y462" s="80">
        <v>0</v>
      </c>
      <c r="Z462" s="80">
        <v>0</v>
      </c>
      <c r="AA462" s="80">
        <v>0</v>
      </c>
      <c r="AB462" s="80">
        <v>0</v>
      </c>
      <c r="AC462" s="80">
        <v>0</v>
      </c>
      <c r="AD462" s="80">
        <v>0</v>
      </c>
      <c r="AE462" s="80">
        <v>0</v>
      </c>
      <c r="AF462" s="80">
        <v>0</v>
      </c>
      <c r="AG462" s="80">
        <v>0</v>
      </c>
      <c r="AH462" s="80">
        <v>14</v>
      </c>
      <c r="AI462" s="80">
        <v>100</v>
      </c>
      <c r="AJ462" s="80">
        <v>0</v>
      </c>
      <c r="AK462" s="80">
        <v>0</v>
      </c>
      <c r="AL462" s="80">
        <v>0</v>
      </c>
      <c r="AM462" s="80">
        <v>0</v>
      </c>
    </row>
    <row r="463" spans="2:39" x14ac:dyDescent="0.35">
      <c r="B463" t="str">
        <f t="shared" si="315"/>
        <v>Southern California-3</v>
      </c>
      <c r="C463" t="str">
        <f t="shared" si="316"/>
        <v>Dec 2025-Southern California-3</v>
      </c>
      <c r="D463">
        <f t="shared" si="317"/>
        <v>3</v>
      </c>
      <c r="E463">
        <f t="shared" si="318"/>
        <v>3.09</v>
      </c>
      <c r="F463">
        <f t="shared" si="319"/>
        <v>9</v>
      </c>
      <c r="G463">
        <f t="shared" si="320"/>
        <v>3</v>
      </c>
      <c r="H463" t="str">
        <f>IF(V463="","",IFERROR(VLOOKUP(TRIM($V463),KEY!$B$2:$F$72,3,FALSE),""))</f>
        <v>Southern California</v>
      </c>
      <c r="I463" t="str">
        <f t="shared" si="321"/>
        <v>WEST-9</v>
      </c>
      <c r="J463" t="str">
        <f t="shared" si="322"/>
        <v>May 2026-WEST-9</v>
      </c>
      <c r="K463">
        <f t="shared" si="323"/>
        <v>9</v>
      </c>
      <c r="L463">
        <f t="shared" si="324"/>
        <v>8.3800000000000008</v>
      </c>
      <c r="M463">
        <f>IF(V463="","",IFERROR(VLOOKUP(TRIM($V463),KEY!$B$2:$F$72,5,FALSE),""))</f>
        <v>38</v>
      </c>
      <c r="N463">
        <f t="shared" si="325"/>
        <v>8</v>
      </c>
      <c r="O463" t="str">
        <f t="shared" si="326"/>
        <v>Mercedes-Benz-2</v>
      </c>
      <c r="P463">
        <f t="shared" si="327"/>
        <v>2</v>
      </c>
      <c r="Q463">
        <f t="shared" si="328"/>
        <v>1.03</v>
      </c>
      <c r="R463">
        <f t="shared" si="329"/>
        <v>3</v>
      </c>
      <c r="S463">
        <f t="shared" si="330"/>
        <v>1</v>
      </c>
      <c r="T463" t="str">
        <f>IF(V463="","",IFERROR(VLOOKUP(TRIM($V463),KEY!$B$2:$F$72,2,FALSE),""))</f>
        <v>Mercedes-Benz</v>
      </c>
      <c r="V463" s="80" t="s">
        <v>187</v>
      </c>
      <c r="W463" s="80">
        <v>23</v>
      </c>
      <c r="X463" s="80">
        <v>1</v>
      </c>
      <c r="Y463" s="80">
        <v>4</v>
      </c>
      <c r="Z463" s="80">
        <v>1</v>
      </c>
      <c r="AA463" s="80">
        <v>1</v>
      </c>
      <c r="AB463" s="80">
        <v>0</v>
      </c>
      <c r="AC463" s="80">
        <v>2</v>
      </c>
      <c r="AD463" s="80">
        <v>4</v>
      </c>
      <c r="AE463" s="80">
        <v>17</v>
      </c>
      <c r="AF463" s="80">
        <v>1</v>
      </c>
      <c r="AG463" s="80">
        <v>0</v>
      </c>
      <c r="AH463" s="80">
        <v>18</v>
      </c>
      <c r="AI463" s="80">
        <v>83</v>
      </c>
      <c r="AJ463" s="80">
        <v>0</v>
      </c>
      <c r="AK463" s="80">
        <v>0</v>
      </c>
      <c r="AL463" s="80">
        <v>0</v>
      </c>
      <c r="AM463" s="80">
        <v>0</v>
      </c>
    </row>
    <row r="464" spans="2:39" x14ac:dyDescent="0.35">
      <c r="B464" t="str">
        <f t="shared" si="315"/>
        <v>Southern California-5</v>
      </c>
      <c r="C464" t="str">
        <f t="shared" si="316"/>
        <v>Dec 2025-Southern California-5</v>
      </c>
      <c r="D464">
        <f t="shared" si="317"/>
        <v>5</v>
      </c>
      <c r="E464">
        <f t="shared" si="318"/>
        <v>4.0199999999999996</v>
      </c>
      <c r="F464">
        <f t="shared" si="319"/>
        <v>2</v>
      </c>
      <c r="G464">
        <f t="shared" si="320"/>
        <v>4</v>
      </c>
      <c r="H464" t="str">
        <f>IF(V464="","",IFERROR(VLOOKUP(TRIM($V464),KEY!$B$2:$F$72,3,FALSE),""))</f>
        <v>Southern California</v>
      </c>
      <c r="I464" t="str">
        <f t="shared" si="321"/>
        <v>WEST-16</v>
      </c>
      <c r="J464" t="str">
        <f t="shared" si="322"/>
        <v>May 2026-WEST-16</v>
      </c>
      <c r="K464">
        <f t="shared" si="323"/>
        <v>16</v>
      </c>
      <c r="L464">
        <f t="shared" si="324"/>
        <v>14.04</v>
      </c>
      <c r="M464">
        <f>IF(V464="","",IFERROR(VLOOKUP(TRIM($V464),KEY!$B$2:$F$72,5,FALSE),""))</f>
        <v>4</v>
      </c>
      <c r="N464">
        <f t="shared" si="325"/>
        <v>14</v>
      </c>
      <c r="O464" t="str">
        <f t="shared" si="326"/>
        <v>Audi-4</v>
      </c>
      <c r="P464">
        <f t="shared" si="327"/>
        <v>4</v>
      </c>
      <c r="Q464">
        <f t="shared" si="328"/>
        <v>3.02</v>
      </c>
      <c r="R464">
        <f t="shared" si="329"/>
        <v>2</v>
      </c>
      <c r="S464">
        <f t="shared" si="330"/>
        <v>3</v>
      </c>
      <c r="T464" t="str">
        <f>IF(V464="","",IFERROR(VLOOKUP(TRIM($V464),KEY!$B$2:$F$72,2,FALSE),""))</f>
        <v>Audi</v>
      </c>
      <c r="V464" s="80" t="s">
        <v>188</v>
      </c>
      <c r="W464" s="80">
        <v>32</v>
      </c>
      <c r="X464" s="80">
        <v>0</v>
      </c>
      <c r="Y464" s="80">
        <v>0</v>
      </c>
      <c r="Z464" s="80">
        <v>0</v>
      </c>
      <c r="AA464" s="80">
        <v>0</v>
      </c>
      <c r="AB464" s="80">
        <v>0</v>
      </c>
      <c r="AC464" s="80">
        <v>0</v>
      </c>
      <c r="AD464" s="80">
        <v>0</v>
      </c>
      <c r="AE464" s="80">
        <v>0</v>
      </c>
      <c r="AF464" s="80">
        <v>0</v>
      </c>
      <c r="AG464" s="80">
        <v>0</v>
      </c>
      <c r="AH464" s="80">
        <v>32</v>
      </c>
      <c r="AI464" s="80">
        <v>100</v>
      </c>
      <c r="AJ464" s="80">
        <v>0</v>
      </c>
      <c r="AK464" s="80">
        <v>0</v>
      </c>
      <c r="AL464" s="80">
        <v>0</v>
      </c>
      <c r="AM464" s="80">
        <v>0</v>
      </c>
    </row>
    <row r="465" spans="2:39" x14ac:dyDescent="0.35">
      <c r="B465" t="str">
        <f t="shared" si="315"/>
        <v>Southern California-1</v>
      </c>
      <c r="C465" t="str">
        <f t="shared" si="316"/>
        <v>Dec 2025-Southern California-1</v>
      </c>
      <c r="D465">
        <f t="shared" si="317"/>
        <v>1</v>
      </c>
      <c r="E465">
        <f t="shared" si="318"/>
        <v>1.1000000000000001</v>
      </c>
      <c r="F465">
        <f t="shared" si="319"/>
        <v>10</v>
      </c>
      <c r="G465">
        <f t="shared" si="320"/>
        <v>1</v>
      </c>
      <c r="H465" t="str">
        <f>IF(V465="","",IFERROR(VLOOKUP(TRIM($V465),KEY!$B$2:$F$72,3,FALSE),""))</f>
        <v>Southern California</v>
      </c>
      <c r="I465" t="str">
        <f t="shared" si="321"/>
        <v>WEST-1</v>
      </c>
      <c r="J465" t="str">
        <f t="shared" si="322"/>
        <v>May 2026-WEST-1</v>
      </c>
      <c r="K465">
        <f t="shared" si="323"/>
        <v>1</v>
      </c>
      <c r="L465">
        <f t="shared" si="324"/>
        <v>1.43</v>
      </c>
      <c r="M465">
        <f>IF(V465="","",IFERROR(VLOOKUP(TRIM($V465),KEY!$B$2:$F$72,5,FALSE),""))</f>
        <v>43</v>
      </c>
      <c r="N465">
        <f t="shared" si="325"/>
        <v>1</v>
      </c>
      <c r="O465" t="str">
        <f t="shared" si="326"/>
        <v>MINI-2</v>
      </c>
      <c r="P465">
        <f t="shared" si="327"/>
        <v>2</v>
      </c>
      <c r="Q465">
        <f t="shared" si="328"/>
        <v>1.05</v>
      </c>
      <c r="R465">
        <f t="shared" si="329"/>
        <v>5</v>
      </c>
      <c r="S465">
        <f t="shared" si="330"/>
        <v>1</v>
      </c>
      <c r="T465" t="str">
        <f>IF(V465="","",IFERROR(VLOOKUP(TRIM($V465),KEY!$B$2:$F$72,2,FALSE),""))</f>
        <v>MINI</v>
      </c>
      <c r="V465" s="80" t="s">
        <v>189</v>
      </c>
      <c r="W465" s="80">
        <v>4</v>
      </c>
      <c r="X465" s="80">
        <v>2</v>
      </c>
      <c r="Y465" s="80">
        <v>50</v>
      </c>
      <c r="Z465" s="80">
        <v>0</v>
      </c>
      <c r="AA465" s="80">
        <v>2</v>
      </c>
      <c r="AB465" s="80">
        <v>0</v>
      </c>
      <c r="AC465" s="80">
        <v>0</v>
      </c>
      <c r="AD465" s="80">
        <v>2</v>
      </c>
      <c r="AE465" s="80">
        <v>50</v>
      </c>
      <c r="AF465" s="80">
        <v>2</v>
      </c>
      <c r="AG465" s="80">
        <v>0</v>
      </c>
      <c r="AH465" s="80">
        <v>0</v>
      </c>
      <c r="AI465" s="80">
        <v>50</v>
      </c>
      <c r="AJ465" s="80">
        <v>0</v>
      </c>
      <c r="AK465" s="80">
        <v>0</v>
      </c>
      <c r="AL465" s="80">
        <v>0</v>
      </c>
      <c r="AM465" s="80">
        <v>0</v>
      </c>
    </row>
    <row r="466" spans="2:39" x14ac:dyDescent="0.35">
      <c r="B466" t="str">
        <f t="shared" si="315"/>
        <v>Texas-7</v>
      </c>
      <c r="C466" t="str">
        <f t="shared" si="316"/>
        <v>Dec 2025-Texas-7</v>
      </c>
      <c r="D466">
        <f t="shared" si="317"/>
        <v>7</v>
      </c>
      <c r="E466">
        <f t="shared" si="318"/>
        <v>2.0699999999999998</v>
      </c>
      <c r="F466">
        <f t="shared" si="319"/>
        <v>7</v>
      </c>
      <c r="G466">
        <f t="shared" si="320"/>
        <v>2</v>
      </c>
      <c r="H466" t="str">
        <f>IF(V466="","",IFERROR(VLOOKUP(TRIM($V466),KEY!$B$2:$F$72,3,FALSE),""))</f>
        <v>Texas</v>
      </c>
      <c r="I466" t="str">
        <f t="shared" si="321"/>
        <v>WEST-49</v>
      </c>
      <c r="J466" t="str">
        <f t="shared" si="322"/>
        <v>May 2026-WEST-49</v>
      </c>
      <c r="K466">
        <f t="shared" si="323"/>
        <v>49</v>
      </c>
      <c r="L466">
        <f t="shared" si="324"/>
        <v>14.52</v>
      </c>
      <c r="M466">
        <f>IF(V466="","",IFERROR(VLOOKUP(TRIM($V466),KEY!$B$2:$F$72,5,FALSE),""))</f>
        <v>52</v>
      </c>
      <c r="N466">
        <f t="shared" si="325"/>
        <v>14</v>
      </c>
      <c r="O466" t="str">
        <f t="shared" si="326"/>
        <v>Honda-2</v>
      </c>
      <c r="P466">
        <f t="shared" si="327"/>
        <v>2</v>
      </c>
      <c r="Q466">
        <f t="shared" si="328"/>
        <v>1.06</v>
      </c>
      <c r="R466">
        <f t="shared" si="329"/>
        <v>6</v>
      </c>
      <c r="S466">
        <f t="shared" si="330"/>
        <v>1</v>
      </c>
      <c r="T466" t="str">
        <f>IF(V466="","",IFERROR(VLOOKUP(TRIM($V466),KEY!$B$2:$F$72,2,FALSE),""))</f>
        <v>Honda</v>
      </c>
      <c r="V466" s="80" t="s">
        <v>190</v>
      </c>
      <c r="W466" s="80">
        <v>36</v>
      </c>
      <c r="X466" s="80">
        <v>0</v>
      </c>
      <c r="Y466" s="80">
        <v>0</v>
      </c>
      <c r="Z466" s="80">
        <v>0</v>
      </c>
      <c r="AA466" s="80">
        <v>0</v>
      </c>
      <c r="AB466" s="80">
        <v>0</v>
      </c>
      <c r="AC466" s="80">
        <v>0</v>
      </c>
      <c r="AD466" s="80">
        <v>0</v>
      </c>
      <c r="AE466" s="80">
        <v>0</v>
      </c>
      <c r="AF466" s="80">
        <v>0</v>
      </c>
      <c r="AG466" s="80">
        <v>0</v>
      </c>
      <c r="AH466" s="80">
        <v>36</v>
      </c>
      <c r="AI466" s="80">
        <v>100</v>
      </c>
      <c r="AJ466" s="80">
        <v>0</v>
      </c>
      <c r="AK466" s="80">
        <v>0</v>
      </c>
      <c r="AL466" s="80">
        <v>0</v>
      </c>
      <c r="AM466" s="80">
        <v>0</v>
      </c>
    </row>
    <row r="467" spans="2:39" x14ac:dyDescent="0.35">
      <c r="B467" t="str">
        <f t="shared" si="315"/>
        <v>Texas-3</v>
      </c>
      <c r="C467" t="str">
        <f t="shared" si="316"/>
        <v>Dec 2025-Texas-3</v>
      </c>
      <c r="D467">
        <f t="shared" si="317"/>
        <v>3</v>
      </c>
      <c r="E467">
        <f t="shared" si="318"/>
        <v>2.0299999999999998</v>
      </c>
      <c r="F467">
        <f t="shared" si="319"/>
        <v>3</v>
      </c>
      <c r="G467">
        <f t="shared" si="320"/>
        <v>2</v>
      </c>
      <c r="H467" t="str">
        <f>IF(V467="","",IFERROR(VLOOKUP(TRIM($V467),KEY!$B$2:$F$72,3,FALSE),""))</f>
        <v>Texas</v>
      </c>
      <c r="I467" t="str">
        <f t="shared" si="321"/>
        <v>WEST-26</v>
      </c>
      <c r="J467" t="str">
        <f t="shared" si="322"/>
        <v>May 2026-WEST-26</v>
      </c>
      <c r="K467">
        <f t="shared" si="323"/>
        <v>26</v>
      </c>
      <c r="L467">
        <f t="shared" si="324"/>
        <v>14.23</v>
      </c>
      <c r="M467">
        <f>IF(V467="","",IFERROR(VLOOKUP(TRIM($V467),KEY!$B$2:$F$72,5,FALSE),""))</f>
        <v>23</v>
      </c>
      <c r="N467">
        <f t="shared" si="325"/>
        <v>14</v>
      </c>
      <c r="O467" t="str">
        <f t="shared" si="326"/>
        <v>Honda-1</v>
      </c>
      <c r="P467">
        <f t="shared" si="327"/>
        <v>1</v>
      </c>
      <c r="Q467">
        <f t="shared" si="328"/>
        <v>1.02</v>
      </c>
      <c r="R467">
        <f t="shared" si="329"/>
        <v>2</v>
      </c>
      <c r="S467">
        <f t="shared" si="330"/>
        <v>1</v>
      </c>
      <c r="T467" t="str">
        <f>IF(V467="","",IFERROR(VLOOKUP(TRIM($V467),KEY!$B$2:$F$72,2,FALSE),""))</f>
        <v>Honda</v>
      </c>
      <c r="V467" s="80" t="s">
        <v>191</v>
      </c>
      <c r="W467" s="80">
        <v>27</v>
      </c>
      <c r="X467" s="80">
        <v>0</v>
      </c>
      <c r="Y467" s="80">
        <v>0</v>
      </c>
      <c r="Z467" s="80">
        <v>0</v>
      </c>
      <c r="AA467" s="80">
        <v>0</v>
      </c>
      <c r="AB467" s="80">
        <v>0</v>
      </c>
      <c r="AC467" s="80">
        <v>0</v>
      </c>
      <c r="AD467" s="80">
        <v>0</v>
      </c>
      <c r="AE467" s="80">
        <v>0</v>
      </c>
      <c r="AF467" s="80">
        <v>0</v>
      </c>
      <c r="AG467" s="80">
        <v>0</v>
      </c>
      <c r="AH467" s="80">
        <v>27</v>
      </c>
      <c r="AI467" s="80">
        <v>100</v>
      </c>
      <c r="AJ467" s="80">
        <v>0</v>
      </c>
      <c r="AK467" s="80">
        <v>0</v>
      </c>
      <c r="AL467" s="80">
        <v>0</v>
      </c>
      <c r="AM467" s="80">
        <v>0</v>
      </c>
    </row>
    <row r="468" spans="2:39" x14ac:dyDescent="0.35">
      <c r="B468" t="str">
        <f t="shared" si="315"/>
        <v>Texas-5</v>
      </c>
      <c r="C468" t="str">
        <f t="shared" si="316"/>
        <v>Dec 2025-Texas-5</v>
      </c>
      <c r="D468">
        <f t="shared" si="317"/>
        <v>5</v>
      </c>
      <c r="E468">
        <f t="shared" si="318"/>
        <v>2.0499999999999998</v>
      </c>
      <c r="F468">
        <f t="shared" si="319"/>
        <v>5</v>
      </c>
      <c r="G468">
        <f t="shared" si="320"/>
        <v>2</v>
      </c>
      <c r="H468" t="str">
        <f>IF(V468="","",IFERROR(VLOOKUP(TRIM($V468),KEY!$B$2:$F$72,3,FALSE),""))</f>
        <v>Texas</v>
      </c>
      <c r="I468" t="str">
        <f t="shared" si="321"/>
        <v>WEST-33</v>
      </c>
      <c r="J468" t="str">
        <f t="shared" si="322"/>
        <v>May 2026-WEST-33</v>
      </c>
      <c r="K468">
        <f t="shared" si="323"/>
        <v>33</v>
      </c>
      <c r="L468">
        <f t="shared" si="324"/>
        <v>14.32</v>
      </c>
      <c r="M468">
        <f>IF(V468="","",IFERROR(VLOOKUP(TRIM($V468),KEY!$B$2:$F$72,5,FALSE),""))</f>
        <v>32</v>
      </c>
      <c r="N468">
        <f t="shared" si="325"/>
        <v>14</v>
      </c>
      <c r="O468" t="str">
        <f t="shared" si="326"/>
        <v>Lexus-1</v>
      </c>
      <c r="P468">
        <f t="shared" si="327"/>
        <v>1</v>
      </c>
      <c r="Q468">
        <f t="shared" si="328"/>
        <v>1.03</v>
      </c>
      <c r="R468">
        <f t="shared" si="329"/>
        <v>3</v>
      </c>
      <c r="S468">
        <f t="shared" si="330"/>
        <v>1</v>
      </c>
      <c r="T468" t="str">
        <f>IF(V468="","",IFERROR(VLOOKUP(TRIM($V468),KEY!$B$2:$F$72,2,FALSE),""))</f>
        <v>Lexus</v>
      </c>
      <c r="V468" s="80" t="s">
        <v>193</v>
      </c>
      <c r="W468" s="80">
        <v>15</v>
      </c>
      <c r="X468" s="80">
        <v>0</v>
      </c>
      <c r="Y468" s="80">
        <v>0</v>
      </c>
      <c r="Z468" s="80">
        <v>0</v>
      </c>
      <c r="AA468" s="80">
        <v>0</v>
      </c>
      <c r="AB468" s="80">
        <v>0</v>
      </c>
      <c r="AC468" s="80">
        <v>0</v>
      </c>
      <c r="AD468" s="80">
        <v>0</v>
      </c>
      <c r="AE468" s="80">
        <v>0</v>
      </c>
      <c r="AF468" s="80">
        <v>0</v>
      </c>
      <c r="AG468" s="80">
        <v>0</v>
      </c>
      <c r="AH468" s="80">
        <v>15</v>
      </c>
      <c r="AI468" s="80">
        <v>100</v>
      </c>
      <c r="AJ468" s="80">
        <v>0</v>
      </c>
      <c r="AK468" s="80">
        <v>0</v>
      </c>
      <c r="AL468" s="80">
        <v>0</v>
      </c>
      <c r="AM468" s="80">
        <v>0</v>
      </c>
    </row>
    <row r="469" spans="2:39" x14ac:dyDescent="0.35">
      <c r="B469" t="str">
        <f t="shared" si="315"/>
        <v>Texas-4</v>
      </c>
      <c r="C469" t="str">
        <f t="shared" si="316"/>
        <v>Dec 2025-Texas-4</v>
      </c>
      <c r="D469">
        <f t="shared" si="317"/>
        <v>4</v>
      </c>
      <c r="E469">
        <f t="shared" si="318"/>
        <v>2.04</v>
      </c>
      <c r="F469">
        <f t="shared" si="319"/>
        <v>4</v>
      </c>
      <c r="G469">
        <f t="shared" si="320"/>
        <v>2</v>
      </c>
      <c r="H469" t="str">
        <f>IF(V469="","",IFERROR(VLOOKUP(TRIM($V469),KEY!$B$2:$F$72,3,FALSE),""))</f>
        <v>Texas</v>
      </c>
      <c r="I469" t="str">
        <f t="shared" si="321"/>
        <v>WEST-31</v>
      </c>
      <c r="J469" t="str">
        <f t="shared" si="322"/>
        <v>May 2026-WEST-31</v>
      </c>
      <c r="K469">
        <f t="shared" si="323"/>
        <v>31</v>
      </c>
      <c r="L469">
        <f t="shared" si="324"/>
        <v>14.3</v>
      </c>
      <c r="M469">
        <f>IF(V469="","",IFERROR(VLOOKUP(TRIM($V469),KEY!$B$2:$F$72,5,FALSE),""))</f>
        <v>30</v>
      </c>
      <c r="N469">
        <f t="shared" si="325"/>
        <v>14</v>
      </c>
      <c r="O469" t="str">
        <f t="shared" si="326"/>
        <v>Lexus-1</v>
      </c>
      <c r="P469">
        <f t="shared" si="327"/>
        <v>1</v>
      </c>
      <c r="Q469">
        <f t="shared" si="328"/>
        <v>1.01</v>
      </c>
      <c r="R469">
        <f t="shared" si="329"/>
        <v>1</v>
      </c>
      <c r="S469">
        <f t="shared" si="330"/>
        <v>1</v>
      </c>
      <c r="T469" t="str">
        <f>IF(V469="","",IFERROR(VLOOKUP(TRIM($V469),KEY!$B$2:$F$72,2,FALSE),""))</f>
        <v>Lexus</v>
      </c>
      <c r="V469" s="80" t="s">
        <v>192</v>
      </c>
      <c r="W469" s="80">
        <v>18</v>
      </c>
      <c r="X469" s="80">
        <v>0</v>
      </c>
      <c r="Y469" s="80">
        <v>0</v>
      </c>
      <c r="Z469" s="80">
        <v>0</v>
      </c>
      <c r="AA469" s="80">
        <v>0</v>
      </c>
      <c r="AB469" s="80">
        <v>0</v>
      </c>
      <c r="AC469" s="80">
        <v>0</v>
      </c>
      <c r="AD469" s="80">
        <v>0</v>
      </c>
      <c r="AE469" s="80">
        <v>0</v>
      </c>
      <c r="AF469" s="80">
        <v>0</v>
      </c>
      <c r="AG469" s="80">
        <v>0</v>
      </c>
      <c r="AH469" s="80">
        <v>18</v>
      </c>
      <c r="AI469" s="80">
        <v>100</v>
      </c>
      <c r="AJ469" s="80">
        <v>0</v>
      </c>
      <c r="AK469" s="80">
        <v>0</v>
      </c>
      <c r="AL469" s="80">
        <v>0</v>
      </c>
      <c r="AM469" s="80">
        <v>0</v>
      </c>
    </row>
    <row r="470" spans="2:39" x14ac:dyDescent="0.35">
      <c r="B470" t="str">
        <f t="shared" si="315"/>
        <v>Texas-9</v>
      </c>
      <c r="C470" t="str">
        <f t="shared" si="316"/>
        <v>Dec 2025-Texas-9</v>
      </c>
      <c r="D470">
        <f t="shared" si="317"/>
        <v>9</v>
      </c>
      <c r="E470">
        <f t="shared" si="318"/>
        <v>2.09</v>
      </c>
      <c r="F470">
        <f t="shared" si="319"/>
        <v>9</v>
      </c>
      <c r="G470">
        <f t="shared" si="320"/>
        <v>2</v>
      </c>
      <c r="H470" t="str">
        <f>IF(V470="","",IFERROR(VLOOKUP(TRIM($V470),KEY!$B$2:$F$72,3,FALSE),""))</f>
        <v>Texas</v>
      </c>
      <c r="I470" t="str">
        <f t="shared" si="321"/>
        <v>WEST-51</v>
      </c>
      <c r="J470" t="str">
        <f t="shared" si="322"/>
        <v>May 2026-WEST-51</v>
      </c>
      <c r="K470">
        <f t="shared" si="323"/>
        <v>51</v>
      </c>
      <c r="L470">
        <f t="shared" si="324"/>
        <v>14.54</v>
      </c>
      <c r="M470">
        <f>IF(V470="","",IFERROR(VLOOKUP(TRIM($V470),KEY!$B$2:$F$72,5,FALSE),""))</f>
        <v>54</v>
      </c>
      <c r="N470">
        <f t="shared" si="325"/>
        <v>14</v>
      </c>
      <c r="O470" t="str">
        <f t="shared" si="326"/>
        <v>Toyota-2</v>
      </c>
      <c r="P470">
        <f t="shared" si="327"/>
        <v>2</v>
      </c>
      <c r="Q470">
        <f t="shared" si="328"/>
        <v>2.0299999999999998</v>
      </c>
      <c r="R470">
        <f t="shared" si="329"/>
        <v>3</v>
      </c>
      <c r="S470">
        <f t="shared" si="330"/>
        <v>2</v>
      </c>
      <c r="T470" t="str">
        <f>IF(V470="","",IFERROR(VLOOKUP(TRIM($V470),KEY!$B$2:$F$72,2,FALSE),""))</f>
        <v>Toyota</v>
      </c>
      <c r="V470" s="80" t="s">
        <v>195</v>
      </c>
      <c r="W470" s="80">
        <v>9</v>
      </c>
      <c r="X470" s="80">
        <v>0</v>
      </c>
      <c r="Y470" s="80">
        <v>0</v>
      </c>
      <c r="Z470" s="80">
        <v>0</v>
      </c>
      <c r="AA470" s="80">
        <v>0</v>
      </c>
      <c r="AB470" s="80">
        <v>0</v>
      </c>
      <c r="AC470" s="80">
        <v>0</v>
      </c>
      <c r="AD470" s="80">
        <v>0</v>
      </c>
      <c r="AE470" s="80">
        <v>0</v>
      </c>
      <c r="AF470" s="80">
        <v>0</v>
      </c>
      <c r="AG470" s="80">
        <v>0</v>
      </c>
      <c r="AH470" s="80">
        <v>9</v>
      </c>
      <c r="AI470" s="80">
        <v>100</v>
      </c>
      <c r="AJ470" s="80">
        <v>0</v>
      </c>
      <c r="AK470" s="80">
        <v>0</v>
      </c>
      <c r="AL470" s="80">
        <v>0</v>
      </c>
      <c r="AM470" s="80">
        <v>0</v>
      </c>
    </row>
    <row r="471" spans="2:39" x14ac:dyDescent="0.35">
      <c r="B471" t="str">
        <f t="shared" si="315"/>
        <v>Texas-1</v>
      </c>
      <c r="C471" t="str">
        <f t="shared" si="316"/>
        <v>Dec 2025-Texas-1</v>
      </c>
      <c r="D471">
        <f t="shared" si="317"/>
        <v>1</v>
      </c>
      <c r="E471">
        <f t="shared" si="318"/>
        <v>1.01</v>
      </c>
      <c r="F471">
        <f t="shared" si="319"/>
        <v>1</v>
      </c>
      <c r="G471">
        <f t="shared" si="320"/>
        <v>1</v>
      </c>
      <c r="H471" t="str">
        <f>IF(V471="","",IFERROR(VLOOKUP(TRIM($V471),KEY!$B$2:$F$72,3,FALSE),""))</f>
        <v>Texas</v>
      </c>
      <c r="I471" t="str">
        <f t="shared" si="321"/>
        <v>WEST-5</v>
      </c>
      <c r="J471" t="str">
        <f t="shared" si="322"/>
        <v>May 2026-WEST-5</v>
      </c>
      <c r="K471">
        <f t="shared" si="323"/>
        <v>5</v>
      </c>
      <c r="L471">
        <f t="shared" si="324"/>
        <v>5.12</v>
      </c>
      <c r="M471">
        <f>IF(V471="","",IFERROR(VLOOKUP(TRIM($V471),KEY!$B$2:$F$72,5,FALSE),""))</f>
        <v>12</v>
      </c>
      <c r="N471">
        <f t="shared" si="325"/>
        <v>5</v>
      </c>
      <c r="O471" t="str">
        <f t="shared" si="326"/>
        <v>BMW-2</v>
      </c>
      <c r="P471">
        <f t="shared" si="327"/>
        <v>2</v>
      </c>
      <c r="Q471">
        <f t="shared" si="328"/>
        <v>2.02</v>
      </c>
      <c r="R471">
        <f t="shared" si="329"/>
        <v>2</v>
      </c>
      <c r="S471">
        <f t="shared" si="330"/>
        <v>2</v>
      </c>
      <c r="T471" t="str">
        <f>IF(V471="","",IFERROR(VLOOKUP(TRIM($V471),KEY!$B$2:$F$72,2,FALSE),""))</f>
        <v>BMW</v>
      </c>
      <c r="V471" s="80" t="s">
        <v>194</v>
      </c>
      <c r="W471" s="80">
        <v>42</v>
      </c>
      <c r="X471" s="80">
        <v>5</v>
      </c>
      <c r="Y471" s="80">
        <v>12</v>
      </c>
      <c r="Z471" s="80">
        <v>0</v>
      </c>
      <c r="AA471" s="80">
        <v>5</v>
      </c>
      <c r="AB471" s="80">
        <v>0</v>
      </c>
      <c r="AC471" s="80">
        <v>0</v>
      </c>
      <c r="AD471" s="80">
        <v>5</v>
      </c>
      <c r="AE471" s="80">
        <v>12</v>
      </c>
      <c r="AF471" s="80">
        <v>0</v>
      </c>
      <c r="AG471" s="80">
        <v>0</v>
      </c>
      <c r="AH471" s="80">
        <v>37</v>
      </c>
      <c r="AI471" s="80">
        <v>88</v>
      </c>
      <c r="AJ471" s="80">
        <v>0</v>
      </c>
      <c r="AK471" s="80">
        <v>0</v>
      </c>
      <c r="AL471" s="80">
        <v>0</v>
      </c>
      <c r="AM471" s="80">
        <v>0</v>
      </c>
    </row>
    <row r="472" spans="2:39" x14ac:dyDescent="0.35">
      <c r="B472" t="str">
        <f t="shared" si="315"/>
        <v>Texas-2</v>
      </c>
      <c r="C472" t="str">
        <f t="shared" si="316"/>
        <v>Dec 2025-Texas-2</v>
      </c>
      <c r="D472">
        <f t="shared" si="317"/>
        <v>2</v>
      </c>
      <c r="E472">
        <f t="shared" si="318"/>
        <v>2.02</v>
      </c>
      <c r="F472">
        <f t="shared" si="319"/>
        <v>2</v>
      </c>
      <c r="G472">
        <f t="shared" si="320"/>
        <v>2</v>
      </c>
      <c r="H472" t="str">
        <f>IF(V472="","",IFERROR(VLOOKUP(TRIM($V472),KEY!$B$2:$F$72,3,FALSE),""))</f>
        <v>Texas</v>
      </c>
      <c r="I472" t="str">
        <f t="shared" si="321"/>
        <v>WEST-25</v>
      </c>
      <c r="J472" t="str">
        <f t="shared" si="322"/>
        <v>May 2026-WEST-25</v>
      </c>
      <c r="K472">
        <f t="shared" si="323"/>
        <v>25</v>
      </c>
      <c r="L472">
        <f t="shared" si="324"/>
        <v>14.22</v>
      </c>
      <c r="M472">
        <f>IF(V472="","",IFERROR(VLOOKUP(TRIM($V472),KEY!$B$2:$F$72,5,FALSE),""))</f>
        <v>22</v>
      </c>
      <c r="N472">
        <f t="shared" si="325"/>
        <v>14</v>
      </c>
      <c r="O472" t="str">
        <f t="shared" si="326"/>
        <v>Genesis-1</v>
      </c>
      <c r="P472">
        <f t="shared" si="327"/>
        <v>1</v>
      </c>
      <c r="Q472">
        <f t="shared" si="328"/>
        <v>1.01</v>
      </c>
      <c r="R472">
        <f t="shared" si="329"/>
        <v>1</v>
      </c>
      <c r="S472">
        <f t="shared" si="330"/>
        <v>1</v>
      </c>
      <c r="T472" t="str">
        <f>IF(V472="","",IFERROR(VLOOKUP(TRIM($V472),KEY!$B$2:$F$72,2,FALSE),""))</f>
        <v>Genesis</v>
      </c>
      <c r="V472" s="80" t="s">
        <v>213</v>
      </c>
      <c r="W472" s="80">
        <v>4</v>
      </c>
      <c r="X472" s="80">
        <v>0</v>
      </c>
      <c r="Y472" s="80">
        <v>0</v>
      </c>
      <c r="Z472" s="80">
        <v>0</v>
      </c>
      <c r="AA472" s="80">
        <v>0</v>
      </c>
      <c r="AB472" s="80">
        <v>0</v>
      </c>
      <c r="AC472" s="80">
        <v>0</v>
      </c>
      <c r="AD472" s="80">
        <v>0</v>
      </c>
      <c r="AE472" s="80">
        <v>0</v>
      </c>
      <c r="AF472" s="80">
        <v>0</v>
      </c>
      <c r="AG472" s="80">
        <v>0</v>
      </c>
      <c r="AH472" s="80">
        <v>4</v>
      </c>
      <c r="AI472" s="80">
        <v>100</v>
      </c>
      <c r="AJ472" s="80">
        <v>0</v>
      </c>
      <c r="AK472" s="80">
        <v>0</v>
      </c>
      <c r="AL472" s="80">
        <v>0</v>
      </c>
      <c r="AM472" s="80">
        <v>0</v>
      </c>
    </row>
    <row r="473" spans="2:39" x14ac:dyDescent="0.35">
      <c r="B473" t="str">
        <f t="shared" si="315"/>
        <v>Texas-8</v>
      </c>
      <c r="C473" t="str">
        <f t="shared" si="316"/>
        <v>Dec 2025-Texas-8</v>
      </c>
      <c r="D473">
        <f t="shared" si="317"/>
        <v>8</v>
      </c>
      <c r="E473">
        <f t="shared" si="318"/>
        <v>2.08</v>
      </c>
      <c r="F473">
        <f t="shared" si="319"/>
        <v>8</v>
      </c>
      <c r="G473">
        <f t="shared" si="320"/>
        <v>2</v>
      </c>
      <c r="H473" t="str">
        <f>IF(V473="","",IFERROR(VLOOKUP(TRIM($V473),KEY!$B$2:$F$72,3,FALSE),""))</f>
        <v>Texas</v>
      </c>
      <c r="I473" t="str">
        <f t="shared" si="321"/>
        <v>WEST-50</v>
      </c>
      <c r="J473" t="str">
        <f t="shared" si="322"/>
        <v>May 2026-WEST-50</v>
      </c>
      <c r="K473">
        <f t="shared" si="323"/>
        <v>50</v>
      </c>
      <c r="L473">
        <f t="shared" si="324"/>
        <v>14.53</v>
      </c>
      <c r="M473">
        <f>IF(V473="","",IFERROR(VLOOKUP(TRIM($V473),KEY!$B$2:$F$72,5,FALSE),""))</f>
        <v>53</v>
      </c>
      <c r="N473">
        <f t="shared" si="325"/>
        <v>14</v>
      </c>
      <c r="O473" t="str">
        <f t="shared" si="326"/>
        <v>Hyundai-1</v>
      </c>
      <c r="P473">
        <f t="shared" si="327"/>
        <v>1</v>
      </c>
      <c r="Q473">
        <f t="shared" si="328"/>
        <v>1.01</v>
      </c>
      <c r="R473">
        <f t="shared" si="329"/>
        <v>1</v>
      </c>
      <c r="S473">
        <f t="shared" si="330"/>
        <v>1</v>
      </c>
      <c r="T473" t="str">
        <f>IF(V473="","",IFERROR(VLOOKUP(TRIM($V473),KEY!$B$2:$F$72,2,FALSE),""))</f>
        <v>Hyundai</v>
      </c>
      <c r="V473" s="80" t="s">
        <v>196</v>
      </c>
      <c r="W473" s="80">
        <v>14</v>
      </c>
      <c r="X473" s="80">
        <v>0</v>
      </c>
      <c r="Y473" s="80">
        <v>0</v>
      </c>
      <c r="Z473" s="80">
        <v>0</v>
      </c>
      <c r="AA473" s="80">
        <v>0</v>
      </c>
      <c r="AB473" s="80">
        <v>0</v>
      </c>
      <c r="AC473" s="80">
        <v>0</v>
      </c>
      <c r="AD473" s="80">
        <v>0</v>
      </c>
      <c r="AE473" s="80">
        <v>0</v>
      </c>
      <c r="AF473" s="80">
        <v>0</v>
      </c>
      <c r="AG473" s="80">
        <v>0</v>
      </c>
      <c r="AH473" s="80">
        <v>14</v>
      </c>
      <c r="AI473" s="80">
        <v>100</v>
      </c>
      <c r="AJ473" s="80">
        <v>0</v>
      </c>
      <c r="AK473" s="80">
        <v>0</v>
      </c>
      <c r="AL473" s="80">
        <v>0</v>
      </c>
      <c r="AM473" s="80">
        <v>0</v>
      </c>
    </row>
    <row r="474" spans="2:39" x14ac:dyDescent="0.35">
      <c r="B474" t="str">
        <f t="shared" si="315"/>
        <v>Texas-6</v>
      </c>
      <c r="C474" t="str">
        <f t="shared" si="316"/>
        <v>Dec 2025-Texas-6</v>
      </c>
      <c r="D474">
        <f t="shared" si="317"/>
        <v>6</v>
      </c>
      <c r="E474">
        <f t="shared" si="318"/>
        <v>2.06</v>
      </c>
      <c r="F474">
        <f t="shared" si="319"/>
        <v>6</v>
      </c>
      <c r="G474">
        <f t="shared" si="320"/>
        <v>2</v>
      </c>
      <c r="H474" t="str">
        <f>IF(V474="","",IFERROR(VLOOKUP(TRIM($V474),KEY!$B$2:$F$72,3,FALSE),""))</f>
        <v>Texas</v>
      </c>
      <c r="I474" t="str">
        <f t="shared" si="321"/>
        <v>WEST-40</v>
      </c>
      <c r="J474" t="str">
        <f t="shared" si="322"/>
        <v>May 2026-WEST-40</v>
      </c>
      <c r="K474">
        <f t="shared" si="323"/>
        <v>40</v>
      </c>
      <c r="L474">
        <f t="shared" si="324"/>
        <v>14.4</v>
      </c>
      <c r="M474">
        <f>IF(V474="","",IFERROR(VLOOKUP(TRIM($V474),KEY!$B$2:$F$72,5,FALSE),""))</f>
        <v>40</v>
      </c>
      <c r="N474">
        <f t="shared" si="325"/>
        <v>14</v>
      </c>
      <c r="O474" t="str">
        <f t="shared" si="326"/>
        <v>MINI-3</v>
      </c>
      <c r="P474">
        <f t="shared" si="327"/>
        <v>3</v>
      </c>
      <c r="Q474">
        <f t="shared" si="328"/>
        <v>2.0299999999999998</v>
      </c>
      <c r="R474">
        <f t="shared" si="329"/>
        <v>3</v>
      </c>
      <c r="S474">
        <f t="shared" si="330"/>
        <v>2</v>
      </c>
      <c r="T474" t="str">
        <f>IF(V474="","",IFERROR(VLOOKUP(TRIM($V474),KEY!$B$2:$F$72,2,FALSE),""))</f>
        <v>MINI</v>
      </c>
      <c r="V474" s="80" t="s">
        <v>197</v>
      </c>
      <c r="W474" s="80">
        <v>1</v>
      </c>
      <c r="X474" s="80">
        <v>0</v>
      </c>
      <c r="Y474" s="80">
        <v>0</v>
      </c>
      <c r="Z474" s="80">
        <v>0</v>
      </c>
      <c r="AA474" s="80">
        <v>0</v>
      </c>
      <c r="AB474" s="80">
        <v>0</v>
      </c>
      <c r="AC474" s="80">
        <v>0</v>
      </c>
      <c r="AD474" s="80">
        <v>0</v>
      </c>
      <c r="AE474" s="80">
        <v>0</v>
      </c>
      <c r="AF474" s="80">
        <v>0</v>
      </c>
      <c r="AG474" s="80">
        <v>0</v>
      </c>
      <c r="AH474" s="80">
        <v>1</v>
      </c>
      <c r="AI474" s="80">
        <v>100</v>
      </c>
      <c r="AJ474" s="80">
        <v>0</v>
      </c>
      <c r="AK474" s="80">
        <v>0</v>
      </c>
      <c r="AL474" s="80">
        <v>0</v>
      </c>
      <c r="AM474" s="80">
        <v>0</v>
      </c>
    </row>
    <row r="475" spans="2:39" x14ac:dyDescent="0.35">
      <c r="B475" t="str">
        <f t="shared" si="315"/>
        <v>Wisconsin-1</v>
      </c>
      <c r="C475" t="str">
        <f t="shared" si="316"/>
        <v>Dec 2025-Wisconsin-1</v>
      </c>
      <c r="D475">
        <f t="shared" si="317"/>
        <v>1</v>
      </c>
      <c r="E475">
        <f t="shared" si="318"/>
        <v>1.01</v>
      </c>
      <c r="F475">
        <f t="shared" si="319"/>
        <v>1</v>
      </c>
      <c r="G475">
        <f t="shared" si="320"/>
        <v>1</v>
      </c>
      <c r="H475" t="str">
        <f>IF(V475="","",IFERROR(VLOOKUP(TRIM($V475),KEY!$B$2:$F$72,3,FALSE),""))</f>
        <v>Wisconsin</v>
      </c>
      <c r="I475" t="str">
        <f t="shared" si="321"/>
        <v>WEST-2</v>
      </c>
      <c r="J475" t="str">
        <f t="shared" si="322"/>
        <v>May 2026-WEST-2</v>
      </c>
      <c r="K475">
        <f t="shared" si="323"/>
        <v>2</v>
      </c>
      <c r="L475">
        <f t="shared" si="324"/>
        <v>2.21</v>
      </c>
      <c r="M475">
        <f>IF(V475="","",IFERROR(VLOOKUP(TRIM($V475),KEY!$B$2:$F$72,5,FALSE),""))</f>
        <v>21</v>
      </c>
      <c r="N475">
        <f t="shared" si="325"/>
        <v>2</v>
      </c>
      <c r="O475" t="str">
        <f t="shared" si="326"/>
        <v>Toyota-1</v>
      </c>
      <c r="P475">
        <f t="shared" si="327"/>
        <v>1</v>
      </c>
      <c r="Q475">
        <f t="shared" si="328"/>
        <v>1.01</v>
      </c>
      <c r="R475">
        <f t="shared" si="329"/>
        <v>1</v>
      </c>
      <c r="S475">
        <f t="shared" si="330"/>
        <v>1</v>
      </c>
      <c r="T475" t="str">
        <f>IF(V475="","",IFERROR(VLOOKUP(TRIM($V475),KEY!$B$2:$F$72,2,FALSE),""))</f>
        <v>Toyota</v>
      </c>
      <c r="V475" s="80" t="s">
        <v>198</v>
      </c>
      <c r="W475" s="80">
        <v>14</v>
      </c>
      <c r="X475" s="80">
        <v>3</v>
      </c>
      <c r="Y475" s="80">
        <v>21</v>
      </c>
      <c r="Z475" s="80">
        <v>1</v>
      </c>
      <c r="AA475" s="80">
        <v>3</v>
      </c>
      <c r="AB475" s="80">
        <v>0</v>
      </c>
      <c r="AC475" s="80">
        <v>0</v>
      </c>
      <c r="AD475" s="80">
        <v>4</v>
      </c>
      <c r="AE475" s="80">
        <v>29</v>
      </c>
      <c r="AF475" s="80">
        <v>10</v>
      </c>
      <c r="AG475" s="80">
        <v>0</v>
      </c>
      <c r="AH475" s="80">
        <v>0</v>
      </c>
      <c r="AI475" s="80">
        <v>71</v>
      </c>
      <c r="AJ475" s="80">
        <v>0</v>
      </c>
      <c r="AK475" s="80">
        <v>0</v>
      </c>
      <c r="AL475" s="80">
        <v>0</v>
      </c>
      <c r="AM475" s="80">
        <v>0</v>
      </c>
    </row>
    <row r="476" spans="2:39" x14ac:dyDescent="0.35">
      <c r="B476" t="str">
        <f t="shared" si="315"/>
        <v>Michigan &amp; Minnesota-2</v>
      </c>
      <c r="C476" t="str">
        <f t="shared" si="316"/>
        <v>Dec 2025-Michigan &amp; Minnesota-2</v>
      </c>
      <c r="D476">
        <f t="shared" si="317"/>
        <v>2</v>
      </c>
      <c r="E476">
        <f t="shared" si="318"/>
        <v>2.02</v>
      </c>
      <c r="F476">
        <f t="shared" si="319"/>
        <v>2</v>
      </c>
      <c r="G476">
        <f t="shared" si="320"/>
        <v>2</v>
      </c>
      <c r="H476" t="str">
        <f>IF(V476="","",IFERROR(VLOOKUP(TRIM($V476),KEY!$B$2:$F$72,3,FALSE),""))</f>
        <v>Michigan &amp; Minnesota</v>
      </c>
      <c r="I476" t="str">
        <f t="shared" si="321"/>
        <v>WEST-42</v>
      </c>
      <c r="J476" t="str">
        <f t="shared" si="322"/>
        <v>May 2026-WEST-42</v>
      </c>
      <c r="K476">
        <f t="shared" si="323"/>
        <v>42</v>
      </c>
      <c r="L476">
        <f t="shared" si="324"/>
        <v>14.45</v>
      </c>
      <c r="M476">
        <f>IF(V476="","",IFERROR(VLOOKUP(TRIM($V476),KEY!$B$2:$F$72,5,FALSE),""))</f>
        <v>45</v>
      </c>
      <c r="N476">
        <f t="shared" si="325"/>
        <v>14</v>
      </c>
      <c r="O476" t="str">
        <f t="shared" si="326"/>
        <v>BMW-6</v>
      </c>
      <c r="P476">
        <f t="shared" si="327"/>
        <v>6</v>
      </c>
      <c r="Q476">
        <f t="shared" si="328"/>
        <v>6.08</v>
      </c>
      <c r="R476">
        <f t="shared" si="329"/>
        <v>8</v>
      </c>
      <c r="S476">
        <f t="shared" si="330"/>
        <v>6</v>
      </c>
      <c r="T476" t="str">
        <f>IF(V476="","",IFERROR(VLOOKUP(TRIM($V476),KEY!$B$2:$F$72,2,FALSE),""))</f>
        <v>BMW</v>
      </c>
      <c r="V476" s="80" t="s">
        <v>199</v>
      </c>
      <c r="W476" s="80">
        <v>20</v>
      </c>
      <c r="X476" s="80">
        <v>0</v>
      </c>
      <c r="Y476" s="80">
        <v>0</v>
      </c>
      <c r="Z476" s="80">
        <v>0</v>
      </c>
      <c r="AA476" s="80">
        <v>0</v>
      </c>
      <c r="AB476" s="80">
        <v>0</v>
      </c>
      <c r="AC476" s="80">
        <v>0</v>
      </c>
      <c r="AD476" s="80">
        <v>0</v>
      </c>
      <c r="AE476" s="80">
        <v>0</v>
      </c>
      <c r="AF476" s="80">
        <v>0</v>
      </c>
      <c r="AG476" s="80">
        <v>0</v>
      </c>
      <c r="AH476" s="80">
        <v>20</v>
      </c>
      <c r="AI476" s="80">
        <v>100</v>
      </c>
      <c r="AJ476" s="80">
        <v>0</v>
      </c>
      <c r="AK476" s="80">
        <v>0</v>
      </c>
      <c r="AL476" s="80">
        <v>0</v>
      </c>
      <c r="AM476" s="80">
        <v>0</v>
      </c>
    </row>
    <row r="477" spans="2:39" x14ac:dyDescent="0.35">
      <c r="B477" t="str">
        <f t="shared" si="315"/>
        <v>Michigan &amp; Minnesota-3</v>
      </c>
      <c r="C477" t="str">
        <f t="shared" si="316"/>
        <v>Dec 2025-Michigan &amp; Minnesota-3</v>
      </c>
      <c r="D477">
        <f t="shared" si="317"/>
        <v>3</v>
      </c>
      <c r="E477">
        <f t="shared" si="318"/>
        <v>2.0299999999999998</v>
      </c>
      <c r="F477">
        <f t="shared" si="319"/>
        <v>3</v>
      </c>
      <c r="G477">
        <f t="shared" si="320"/>
        <v>2</v>
      </c>
      <c r="H477" t="str">
        <f>IF(V477="","",IFERROR(VLOOKUP(TRIM($V477),KEY!$B$2:$F$72,3,FALSE),""))</f>
        <v>Michigan &amp; Minnesota</v>
      </c>
      <c r="I477" t="str">
        <f t="shared" si="321"/>
        <v>WEST-43</v>
      </c>
      <c r="J477" t="str">
        <f t="shared" si="322"/>
        <v>May 2026-WEST-43</v>
      </c>
      <c r="K477">
        <f t="shared" si="323"/>
        <v>43</v>
      </c>
      <c r="L477">
        <f t="shared" si="324"/>
        <v>14.46</v>
      </c>
      <c r="M477">
        <f>IF(V477="","",IFERROR(VLOOKUP(TRIM($V477),KEY!$B$2:$F$72,5,FALSE),""))</f>
        <v>46</v>
      </c>
      <c r="N477">
        <f t="shared" si="325"/>
        <v>14</v>
      </c>
      <c r="O477" t="str">
        <f t="shared" si="326"/>
        <v>MINI-3</v>
      </c>
      <c r="P477">
        <f t="shared" si="327"/>
        <v>3</v>
      </c>
      <c r="Q477">
        <f t="shared" si="328"/>
        <v>2.06</v>
      </c>
      <c r="R477">
        <f t="shared" si="329"/>
        <v>6</v>
      </c>
      <c r="S477">
        <f t="shared" si="330"/>
        <v>2</v>
      </c>
      <c r="T477" t="str">
        <f>IF(V477="","",IFERROR(VLOOKUP(TRIM($V477),KEY!$B$2:$F$72,2,FALSE),""))</f>
        <v>MINI</v>
      </c>
      <c r="V477" s="80" t="s">
        <v>200</v>
      </c>
      <c r="W477" s="80">
        <v>2</v>
      </c>
      <c r="X477" s="80">
        <v>0</v>
      </c>
      <c r="Y477" s="80">
        <v>0</v>
      </c>
      <c r="Z477" s="80">
        <v>0</v>
      </c>
      <c r="AA477" s="80">
        <v>0</v>
      </c>
      <c r="AB477" s="80">
        <v>0</v>
      </c>
      <c r="AC477" s="80">
        <v>0</v>
      </c>
      <c r="AD477" s="80">
        <v>0</v>
      </c>
      <c r="AE477" s="80">
        <v>0</v>
      </c>
      <c r="AF477" s="80">
        <v>0</v>
      </c>
      <c r="AG477" s="80">
        <v>0</v>
      </c>
      <c r="AH477" s="80">
        <v>2</v>
      </c>
      <c r="AI477" s="80">
        <v>100</v>
      </c>
      <c r="AJ477" s="80">
        <v>0</v>
      </c>
      <c r="AK477" s="80">
        <v>0</v>
      </c>
      <c r="AL477" s="80">
        <v>0</v>
      </c>
      <c r="AM477" s="80">
        <v>0</v>
      </c>
    </row>
    <row r="478" spans="2:39" x14ac:dyDescent="0.35">
      <c r="B478" t="str">
        <f t="shared" si="315"/>
        <v>Michigan &amp; Minnesota-1</v>
      </c>
      <c r="C478" t="str">
        <f t="shared" si="316"/>
        <v>Dec 2025-Michigan &amp; Minnesota-1</v>
      </c>
      <c r="D478">
        <f t="shared" si="317"/>
        <v>1</v>
      </c>
      <c r="E478">
        <f t="shared" si="318"/>
        <v>1.01</v>
      </c>
      <c r="F478">
        <f t="shared" si="319"/>
        <v>1</v>
      </c>
      <c r="G478">
        <f t="shared" si="320"/>
        <v>1</v>
      </c>
      <c r="H478" t="str">
        <f>IF(V478="","",IFERROR(VLOOKUP(TRIM($V478),KEY!$B$2:$F$72,3,FALSE),""))</f>
        <v>Michigan &amp; Minnesota</v>
      </c>
      <c r="I478" t="str">
        <f t="shared" si="321"/>
        <v>WEST-10</v>
      </c>
      <c r="J478" t="str">
        <f t="shared" si="322"/>
        <v>May 2026-WEST-10</v>
      </c>
      <c r="K478">
        <f t="shared" si="323"/>
        <v>10</v>
      </c>
      <c r="L478">
        <f t="shared" si="324"/>
        <v>10.130000000000001</v>
      </c>
      <c r="M478">
        <f>IF(V478="","",IFERROR(VLOOKUP(TRIM($V478),KEY!$B$2:$F$72,5,FALSE),""))</f>
        <v>13</v>
      </c>
      <c r="N478">
        <f t="shared" si="325"/>
        <v>10</v>
      </c>
      <c r="O478" t="str">
        <f t="shared" si="326"/>
        <v>BMW-4</v>
      </c>
      <c r="P478">
        <f t="shared" si="327"/>
        <v>4</v>
      </c>
      <c r="Q478">
        <f t="shared" si="328"/>
        <v>4.03</v>
      </c>
      <c r="R478">
        <f t="shared" si="329"/>
        <v>3</v>
      </c>
      <c r="S478">
        <f t="shared" si="330"/>
        <v>4</v>
      </c>
      <c r="T478" t="str">
        <f>IF(V478="","",IFERROR(VLOOKUP(TRIM($V478),KEY!$B$2:$F$72,2,FALSE),""))</f>
        <v>BMW</v>
      </c>
      <c r="V478" s="80" t="s">
        <v>201</v>
      </c>
      <c r="W478" s="80">
        <v>32</v>
      </c>
      <c r="X478" s="80">
        <v>1</v>
      </c>
      <c r="Y478" s="80">
        <v>3</v>
      </c>
      <c r="Z478" s="80">
        <v>0</v>
      </c>
      <c r="AA478" s="80">
        <v>1</v>
      </c>
      <c r="AB478" s="80">
        <v>0</v>
      </c>
      <c r="AC478" s="80">
        <v>0</v>
      </c>
      <c r="AD478" s="80">
        <v>1</v>
      </c>
      <c r="AE478" s="80">
        <v>3</v>
      </c>
      <c r="AF478" s="80">
        <v>15</v>
      </c>
      <c r="AG478" s="80">
        <v>0</v>
      </c>
      <c r="AH478" s="80">
        <v>16</v>
      </c>
      <c r="AI478" s="80">
        <v>97</v>
      </c>
      <c r="AJ478" s="80">
        <v>0</v>
      </c>
      <c r="AK478" s="80">
        <v>0</v>
      </c>
      <c r="AL478" s="80">
        <v>0</v>
      </c>
      <c r="AM478" s="80">
        <v>0</v>
      </c>
    </row>
    <row r="479" spans="2:39" x14ac:dyDescent="0.35">
      <c r="B479" t="str">
        <f t="shared" si="315"/>
        <v/>
      </c>
      <c r="C479" t="str">
        <f t="shared" si="316"/>
        <v/>
      </c>
      <c r="D479" t="str">
        <f t="shared" si="317"/>
        <v/>
      </c>
      <c r="E479" t="str">
        <f t="shared" si="318"/>
        <v/>
      </c>
      <c r="F479" t="str">
        <f t="shared" si="319"/>
        <v/>
      </c>
      <c r="G479" t="str">
        <f t="shared" si="320"/>
        <v/>
      </c>
      <c r="H479" t="str">
        <f>IF(V479="","",IFERROR(VLOOKUP(TRIM($V479),KEY!$B$2:$F$72,3,FALSE),""))</f>
        <v/>
      </c>
      <c r="I479" t="str">
        <f t="shared" si="321"/>
        <v/>
      </c>
      <c r="J479" t="str">
        <f t="shared" si="322"/>
        <v/>
      </c>
      <c r="K479" t="str">
        <f t="shared" si="323"/>
        <v/>
      </c>
      <c r="L479" t="str">
        <f t="shared" si="324"/>
        <v/>
      </c>
      <c r="M479" t="str">
        <f>IF(V479="","",IFERROR(VLOOKUP(TRIM($V479),KEY!$B$2:$F$72,5,FALSE),""))</f>
        <v/>
      </c>
      <c r="N479" t="str">
        <f t="shared" si="325"/>
        <v/>
      </c>
      <c r="O479" t="str">
        <f t="shared" si="326"/>
        <v/>
      </c>
      <c r="P479" t="str">
        <f t="shared" si="327"/>
        <v/>
      </c>
      <c r="Q479" t="str">
        <f t="shared" si="328"/>
        <v/>
      </c>
      <c r="R479" t="str">
        <f t="shared" si="329"/>
        <v/>
      </c>
      <c r="S479" t="str">
        <f t="shared" si="330"/>
        <v/>
      </c>
      <c r="T479" t="str">
        <f>IF(V479="","",IFERROR(VLOOKUP(TRIM($V479),KEY!$B$2:$F$72,2,FALSE),""))</f>
        <v/>
      </c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</row>
    <row r="480" spans="2:39" x14ac:dyDescent="0.35">
      <c r="B480" t="str">
        <f t="shared" si="315"/>
        <v/>
      </c>
      <c r="C480" t="str">
        <f t="shared" si="316"/>
        <v/>
      </c>
      <c r="D480" t="str">
        <f t="shared" si="317"/>
        <v/>
      </c>
      <c r="E480" t="str">
        <f t="shared" si="318"/>
        <v/>
      </c>
      <c r="F480" t="str">
        <f t="shared" si="319"/>
        <v/>
      </c>
      <c r="G480" t="str">
        <f t="shared" si="320"/>
        <v/>
      </c>
      <c r="H480" t="str">
        <f>IF(V480="","",IFERROR(VLOOKUP(TRIM($V480),KEY!$B$2:$F$72,3,FALSE),""))</f>
        <v/>
      </c>
      <c r="I480" t="str">
        <f t="shared" si="321"/>
        <v/>
      </c>
      <c r="J480" t="str">
        <f t="shared" si="322"/>
        <v/>
      </c>
      <c r="K480" t="str">
        <f t="shared" si="323"/>
        <v/>
      </c>
      <c r="L480" t="str">
        <f t="shared" si="324"/>
        <v/>
      </c>
      <c r="M480" t="str">
        <f>IF(V480="","",IFERROR(VLOOKUP(TRIM($V480),KEY!$B$2:$F$72,5,FALSE),""))</f>
        <v/>
      </c>
      <c r="N480" t="str">
        <f t="shared" si="325"/>
        <v/>
      </c>
      <c r="O480" t="str">
        <f t="shared" si="326"/>
        <v/>
      </c>
      <c r="P480" t="str">
        <f t="shared" si="327"/>
        <v/>
      </c>
      <c r="Q480" t="str">
        <f t="shared" si="328"/>
        <v/>
      </c>
      <c r="R480" t="str">
        <f t="shared" si="329"/>
        <v/>
      </c>
      <c r="S480" t="str">
        <f t="shared" si="330"/>
        <v/>
      </c>
      <c r="T480" t="str">
        <f>IF(V480="","",IFERROR(VLOOKUP(TRIM($V480),KEY!$B$2:$F$72,2,FALSE),""))</f>
        <v/>
      </c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</row>
    <row r="481" spans="2:39" x14ac:dyDescent="0.35">
      <c r="B481" t="str">
        <f t="shared" si="315"/>
        <v/>
      </c>
      <c r="C481" t="str">
        <f t="shared" si="316"/>
        <v/>
      </c>
      <c r="D481" t="str">
        <f t="shared" si="317"/>
        <v/>
      </c>
      <c r="E481" t="str">
        <f t="shared" si="318"/>
        <v/>
      </c>
      <c r="F481" t="str">
        <f t="shared" si="319"/>
        <v/>
      </c>
      <c r="G481" t="str">
        <f t="shared" si="320"/>
        <v/>
      </c>
      <c r="H481" t="str">
        <f>IF(V481="","",IFERROR(VLOOKUP(TRIM($V481),KEY!$B$2:$F$72,3,FALSE),""))</f>
        <v/>
      </c>
      <c r="I481" t="str">
        <f t="shared" si="321"/>
        <v/>
      </c>
      <c r="J481" t="str">
        <f t="shared" si="322"/>
        <v/>
      </c>
      <c r="K481" t="str">
        <f t="shared" si="323"/>
        <v/>
      </c>
      <c r="L481" t="str">
        <f t="shared" si="324"/>
        <v/>
      </c>
      <c r="M481" t="str">
        <f>IF(V481="","",IFERROR(VLOOKUP(TRIM($V481),KEY!$B$2:$F$72,5,FALSE),""))</f>
        <v/>
      </c>
      <c r="N481" t="str">
        <f t="shared" si="325"/>
        <v/>
      </c>
      <c r="O481" t="str">
        <f t="shared" si="326"/>
        <v/>
      </c>
      <c r="P481" t="str">
        <f t="shared" si="327"/>
        <v/>
      </c>
      <c r="Q481" t="str">
        <f t="shared" si="328"/>
        <v/>
      </c>
      <c r="R481" t="str">
        <f t="shared" si="329"/>
        <v/>
      </c>
      <c r="S481" t="str">
        <f t="shared" si="330"/>
        <v/>
      </c>
      <c r="T481" t="str">
        <f>IF(V481="","",IFERROR(VLOOKUP(TRIM($V481),KEY!$B$2:$F$72,2,FALSE),""))</f>
        <v/>
      </c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</row>
    <row r="482" spans="2:39" x14ac:dyDescent="0.35">
      <c r="B482" t="str">
        <f t="shared" si="315"/>
        <v/>
      </c>
      <c r="C482" t="str">
        <f t="shared" si="316"/>
        <v/>
      </c>
      <c r="D482" t="str">
        <f t="shared" si="317"/>
        <v/>
      </c>
      <c r="E482" t="str">
        <f t="shared" si="318"/>
        <v/>
      </c>
      <c r="F482" t="str">
        <f t="shared" si="319"/>
        <v/>
      </c>
      <c r="G482" t="str">
        <f t="shared" si="320"/>
        <v/>
      </c>
      <c r="H482" t="str">
        <f>IF(V482="","",IFERROR(VLOOKUP(TRIM($V482),KEY!$B$2:$F$72,3,FALSE),""))</f>
        <v/>
      </c>
      <c r="I482" t="str">
        <f t="shared" si="321"/>
        <v/>
      </c>
      <c r="J482" t="str">
        <f t="shared" si="322"/>
        <v/>
      </c>
      <c r="K482" t="str">
        <f t="shared" si="323"/>
        <v/>
      </c>
      <c r="L482" t="str">
        <f t="shared" si="324"/>
        <v/>
      </c>
      <c r="M482" t="str">
        <f>IF(V482="","",IFERROR(VLOOKUP(TRIM($V482),KEY!$B$2:$F$72,5,FALSE),""))</f>
        <v/>
      </c>
      <c r="N482" t="str">
        <f t="shared" si="325"/>
        <v/>
      </c>
      <c r="O482" t="str">
        <f t="shared" si="326"/>
        <v/>
      </c>
      <c r="P482" t="str">
        <f t="shared" si="327"/>
        <v/>
      </c>
      <c r="Q482" t="str">
        <f t="shared" si="328"/>
        <v/>
      </c>
      <c r="R482" t="str">
        <f t="shared" si="329"/>
        <v/>
      </c>
      <c r="S482" t="str">
        <f t="shared" si="330"/>
        <v/>
      </c>
      <c r="T482" t="str">
        <f>IF(V482="","",IFERROR(VLOOKUP(TRIM($V482),KEY!$B$2:$F$72,2,FALSE),""))</f>
        <v/>
      </c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</row>
    <row r="483" spans="2:39" x14ac:dyDescent="0.35">
      <c r="B483" t="str">
        <f t="shared" si="315"/>
        <v/>
      </c>
      <c r="C483" t="str">
        <f t="shared" si="316"/>
        <v/>
      </c>
      <c r="D483" t="str">
        <f t="shared" si="317"/>
        <v/>
      </c>
      <c r="E483" t="str">
        <f t="shared" si="318"/>
        <v/>
      </c>
      <c r="F483" t="str">
        <f t="shared" si="319"/>
        <v/>
      </c>
      <c r="G483" t="str">
        <f t="shared" si="320"/>
        <v/>
      </c>
      <c r="H483" t="str">
        <f>IF(V483="","",IFERROR(VLOOKUP(TRIM($V483),KEY!$B$2:$F$72,3,FALSE),""))</f>
        <v/>
      </c>
      <c r="I483" t="str">
        <f t="shared" si="321"/>
        <v/>
      </c>
      <c r="J483" t="str">
        <f t="shared" si="322"/>
        <v/>
      </c>
      <c r="K483" t="str">
        <f t="shared" si="323"/>
        <v/>
      </c>
      <c r="L483" t="str">
        <f t="shared" si="324"/>
        <v/>
      </c>
      <c r="M483" t="str">
        <f>IF(V483="","",IFERROR(VLOOKUP(TRIM($V483),KEY!$B$2:$F$72,5,FALSE),""))</f>
        <v/>
      </c>
      <c r="N483" t="str">
        <f t="shared" si="325"/>
        <v/>
      </c>
      <c r="O483" t="str">
        <f t="shared" si="326"/>
        <v/>
      </c>
      <c r="P483" t="str">
        <f t="shared" si="327"/>
        <v/>
      </c>
      <c r="Q483" t="str">
        <f t="shared" si="328"/>
        <v/>
      </c>
      <c r="R483" t="str">
        <f t="shared" si="329"/>
        <v/>
      </c>
      <c r="S483" t="str">
        <f t="shared" si="330"/>
        <v/>
      </c>
      <c r="T483" t="str">
        <f>IF(V483="","",IFERROR(VLOOKUP(TRIM($V483),KEY!$B$2:$F$72,2,FALSE),""))</f>
        <v/>
      </c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</row>
    <row r="484" spans="2:39" x14ac:dyDescent="0.35">
      <c r="B484" t="str">
        <f t="shared" si="315"/>
        <v/>
      </c>
      <c r="C484" t="str">
        <f t="shared" si="316"/>
        <v/>
      </c>
      <c r="D484" t="str">
        <f t="shared" si="317"/>
        <v/>
      </c>
      <c r="E484" t="str">
        <f t="shared" si="318"/>
        <v/>
      </c>
      <c r="F484" t="str">
        <f t="shared" si="319"/>
        <v/>
      </c>
      <c r="G484" t="str">
        <f t="shared" si="320"/>
        <v/>
      </c>
      <c r="H484" t="str">
        <f>IF(V484="","",IFERROR(VLOOKUP(TRIM($V484),KEY!$B$2:$F$72,3,FALSE),""))</f>
        <v/>
      </c>
      <c r="I484" t="str">
        <f t="shared" si="321"/>
        <v/>
      </c>
      <c r="J484" t="str">
        <f t="shared" si="322"/>
        <v/>
      </c>
      <c r="K484" t="str">
        <f t="shared" si="323"/>
        <v/>
      </c>
      <c r="L484" t="str">
        <f t="shared" si="324"/>
        <v/>
      </c>
      <c r="M484" t="str">
        <f>IF(V484="","",IFERROR(VLOOKUP(TRIM($V484),KEY!$B$2:$F$72,5,FALSE),""))</f>
        <v/>
      </c>
      <c r="N484" t="str">
        <f t="shared" si="325"/>
        <v/>
      </c>
      <c r="O484" t="str">
        <f t="shared" si="326"/>
        <v/>
      </c>
      <c r="P484" t="str">
        <f t="shared" si="327"/>
        <v/>
      </c>
      <c r="Q484" t="str">
        <f t="shared" si="328"/>
        <v/>
      </c>
      <c r="R484" t="str">
        <f t="shared" si="329"/>
        <v/>
      </c>
      <c r="S484" t="str">
        <f t="shared" si="330"/>
        <v/>
      </c>
      <c r="T484" t="str">
        <f>IF(V484="","",IFERROR(VLOOKUP(TRIM($V484),KEY!$B$2:$F$72,2,FALSE),""))</f>
        <v/>
      </c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</row>
    <row r="485" spans="2:39" x14ac:dyDescent="0.35">
      <c r="B485" t="str">
        <f t="shared" si="315"/>
        <v/>
      </c>
      <c r="C485" t="str">
        <f t="shared" si="316"/>
        <v/>
      </c>
      <c r="D485" t="str">
        <f t="shared" si="317"/>
        <v/>
      </c>
      <c r="E485" t="str">
        <f t="shared" si="318"/>
        <v/>
      </c>
      <c r="F485" t="str">
        <f t="shared" si="319"/>
        <v/>
      </c>
      <c r="G485" t="str">
        <f t="shared" si="320"/>
        <v/>
      </c>
      <c r="H485" t="str">
        <f>IF(V485="","",IFERROR(VLOOKUP(TRIM($V485),KEY!$B$2:$F$72,3,FALSE),""))</f>
        <v/>
      </c>
      <c r="I485" t="str">
        <f t="shared" si="321"/>
        <v/>
      </c>
      <c r="J485" t="str">
        <f t="shared" si="322"/>
        <v/>
      </c>
      <c r="K485" t="str">
        <f t="shared" si="323"/>
        <v/>
      </c>
      <c r="L485" t="str">
        <f t="shared" si="324"/>
        <v/>
      </c>
      <c r="M485" t="str">
        <f>IF(V485="","",IFERROR(VLOOKUP(TRIM($V485),KEY!$B$2:$F$72,5,FALSE),""))</f>
        <v/>
      </c>
      <c r="N485" t="str">
        <f t="shared" si="325"/>
        <v/>
      </c>
      <c r="O485" t="str">
        <f t="shared" si="326"/>
        <v/>
      </c>
      <c r="P485" t="str">
        <f t="shared" si="327"/>
        <v/>
      </c>
      <c r="Q485" t="str">
        <f t="shared" si="328"/>
        <v/>
      </c>
      <c r="R485" t="str">
        <f t="shared" si="329"/>
        <v/>
      </c>
      <c r="S485" t="str">
        <f t="shared" si="330"/>
        <v/>
      </c>
      <c r="T485" t="str">
        <f>IF(V485="","",IFERROR(VLOOKUP(TRIM($V485),KEY!$B$2:$F$72,2,FALSE),""))</f>
        <v/>
      </c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</row>
    <row r="486" spans="2:39" x14ac:dyDescent="0.35">
      <c r="B486" t="str">
        <f t="shared" si="315"/>
        <v/>
      </c>
      <c r="C486" t="str">
        <f t="shared" si="316"/>
        <v/>
      </c>
      <c r="D486" t="str">
        <f t="shared" si="317"/>
        <v/>
      </c>
      <c r="E486" t="str">
        <f t="shared" si="318"/>
        <v/>
      </c>
      <c r="F486" t="str">
        <f t="shared" si="319"/>
        <v/>
      </c>
      <c r="G486" t="str">
        <f t="shared" si="320"/>
        <v/>
      </c>
      <c r="H486" t="str">
        <f>IF(V486="","",IFERROR(VLOOKUP(TRIM($V486),KEY!$B$2:$F$72,3,FALSE),""))</f>
        <v/>
      </c>
      <c r="I486" t="str">
        <f t="shared" si="321"/>
        <v/>
      </c>
      <c r="J486" t="str">
        <f t="shared" si="322"/>
        <v/>
      </c>
      <c r="K486" t="str">
        <f t="shared" si="323"/>
        <v/>
      </c>
      <c r="L486" t="str">
        <f t="shared" si="324"/>
        <v/>
      </c>
      <c r="M486" t="str">
        <f>IF(V486="","",IFERROR(VLOOKUP(TRIM($V486),KEY!$B$2:$F$72,5,FALSE),""))</f>
        <v/>
      </c>
      <c r="N486" t="str">
        <f t="shared" si="325"/>
        <v/>
      </c>
      <c r="O486" t="str">
        <f t="shared" si="326"/>
        <v/>
      </c>
      <c r="P486" t="str">
        <f t="shared" si="327"/>
        <v/>
      </c>
      <c r="Q486" t="str">
        <f t="shared" si="328"/>
        <v/>
      </c>
      <c r="R486" t="str">
        <f t="shared" si="329"/>
        <v/>
      </c>
      <c r="S486" t="str">
        <f t="shared" si="330"/>
        <v/>
      </c>
      <c r="T486" t="str">
        <f>IF(V486="","",IFERROR(VLOOKUP(TRIM($V486),KEY!$B$2:$F$72,2,FALSE),""))</f>
        <v/>
      </c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</row>
    <row r="487" spans="2:39" x14ac:dyDescent="0.35">
      <c r="B487" t="str">
        <f t="shared" si="315"/>
        <v/>
      </c>
      <c r="C487" t="str">
        <f t="shared" si="316"/>
        <v/>
      </c>
      <c r="D487" t="str">
        <f t="shared" si="317"/>
        <v/>
      </c>
      <c r="E487" t="str">
        <f t="shared" si="318"/>
        <v/>
      </c>
      <c r="F487" t="str">
        <f t="shared" si="319"/>
        <v/>
      </c>
      <c r="G487" t="str">
        <f t="shared" si="320"/>
        <v/>
      </c>
      <c r="H487" t="str">
        <f>IF(V487="","",IFERROR(VLOOKUP(TRIM($V487),KEY!$B$2:$F$72,3,FALSE),""))</f>
        <v/>
      </c>
      <c r="I487" t="str">
        <f t="shared" si="321"/>
        <v/>
      </c>
      <c r="J487" t="str">
        <f t="shared" si="322"/>
        <v/>
      </c>
      <c r="K487" t="str">
        <f t="shared" si="323"/>
        <v/>
      </c>
      <c r="L487" t="str">
        <f t="shared" si="324"/>
        <v/>
      </c>
      <c r="M487" t="str">
        <f>IF(V487="","",IFERROR(VLOOKUP(TRIM($V487),KEY!$B$2:$F$72,5,FALSE),""))</f>
        <v/>
      </c>
      <c r="N487" t="str">
        <f t="shared" si="325"/>
        <v/>
      </c>
      <c r="O487" t="str">
        <f t="shared" si="326"/>
        <v/>
      </c>
      <c r="P487" t="str">
        <f t="shared" si="327"/>
        <v/>
      </c>
      <c r="Q487" t="str">
        <f t="shared" si="328"/>
        <v/>
      </c>
      <c r="R487" t="str">
        <f t="shared" si="329"/>
        <v/>
      </c>
      <c r="S487" t="str">
        <f t="shared" si="330"/>
        <v/>
      </c>
      <c r="T487" t="str">
        <f>IF(V487="","",IFERROR(VLOOKUP(TRIM($V487),KEY!$B$2:$F$72,2,FALSE),""))</f>
        <v/>
      </c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</row>
    <row r="488" spans="2:39" x14ac:dyDescent="0.35">
      <c r="B488" t="str">
        <f t="shared" si="315"/>
        <v/>
      </c>
      <c r="C488" t="str">
        <f t="shared" si="316"/>
        <v/>
      </c>
      <c r="D488" t="str">
        <f t="shared" si="317"/>
        <v/>
      </c>
      <c r="E488" t="str">
        <f t="shared" si="318"/>
        <v/>
      </c>
      <c r="F488" t="str">
        <f t="shared" si="319"/>
        <v/>
      </c>
      <c r="G488" t="str">
        <f t="shared" si="320"/>
        <v/>
      </c>
      <c r="H488" t="str">
        <f>IF(V488="","",IFERROR(VLOOKUP(TRIM($V488),KEY!$B$2:$F$72,3,FALSE),""))</f>
        <v/>
      </c>
      <c r="I488" t="str">
        <f t="shared" si="321"/>
        <v/>
      </c>
      <c r="J488" t="str">
        <f t="shared" si="322"/>
        <v/>
      </c>
      <c r="K488" t="str">
        <f t="shared" si="323"/>
        <v/>
      </c>
      <c r="L488" t="str">
        <f t="shared" si="324"/>
        <v/>
      </c>
      <c r="M488" t="str">
        <f>IF(V488="","",IFERROR(VLOOKUP(TRIM($V488),KEY!$B$2:$F$72,5,FALSE),""))</f>
        <v/>
      </c>
      <c r="N488" t="str">
        <f t="shared" si="325"/>
        <v/>
      </c>
      <c r="O488" t="str">
        <f t="shared" si="326"/>
        <v/>
      </c>
      <c r="P488" t="str">
        <f t="shared" si="327"/>
        <v/>
      </c>
      <c r="Q488" t="str">
        <f t="shared" si="328"/>
        <v/>
      </c>
      <c r="R488" t="str">
        <f t="shared" si="329"/>
        <v/>
      </c>
      <c r="S488" t="str">
        <f t="shared" si="330"/>
        <v/>
      </c>
      <c r="T488" t="str">
        <f>IF(V488="","",IFERROR(VLOOKUP(TRIM($V488),KEY!$B$2:$F$72,2,FALSE),""))</f>
        <v/>
      </c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</row>
    <row r="489" spans="2:39" x14ac:dyDescent="0.35">
      <c r="B489" t="str">
        <f t="shared" si="315"/>
        <v/>
      </c>
      <c r="C489" t="str">
        <f t="shared" si="316"/>
        <v/>
      </c>
      <c r="D489" t="str">
        <f t="shared" si="317"/>
        <v/>
      </c>
      <c r="E489" t="str">
        <f t="shared" si="318"/>
        <v/>
      </c>
      <c r="F489" t="str">
        <f t="shared" si="319"/>
        <v/>
      </c>
      <c r="G489" t="str">
        <f t="shared" si="320"/>
        <v/>
      </c>
      <c r="H489" t="str">
        <f>IF(V489="","",IFERROR(VLOOKUP(TRIM($V489),KEY!$B$2:$F$72,3,FALSE),""))</f>
        <v/>
      </c>
      <c r="I489" t="str">
        <f t="shared" si="321"/>
        <v/>
      </c>
      <c r="J489" t="str">
        <f t="shared" si="322"/>
        <v/>
      </c>
      <c r="K489" t="str">
        <f t="shared" si="323"/>
        <v/>
      </c>
      <c r="L489" t="str">
        <f t="shared" si="324"/>
        <v/>
      </c>
      <c r="M489" t="str">
        <f>IF(V489="","",IFERROR(VLOOKUP(TRIM($V489),KEY!$B$2:$F$72,5,FALSE),""))</f>
        <v/>
      </c>
      <c r="N489" t="str">
        <f t="shared" si="325"/>
        <v/>
      </c>
      <c r="O489" t="str">
        <f t="shared" si="326"/>
        <v/>
      </c>
      <c r="P489" t="str">
        <f t="shared" si="327"/>
        <v/>
      </c>
      <c r="Q489" t="str">
        <f t="shared" si="328"/>
        <v/>
      </c>
      <c r="R489" t="str">
        <f t="shared" si="329"/>
        <v/>
      </c>
      <c r="S489" t="str">
        <f t="shared" si="330"/>
        <v/>
      </c>
      <c r="T489" t="str">
        <f>IF(V489="","",IFERROR(VLOOKUP(TRIM($V489),KEY!$B$2:$F$72,2,FALSE),""))</f>
        <v/>
      </c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</row>
    <row r="490" spans="2:39" x14ac:dyDescent="0.35">
      <c r="B490" t="str">
        <f t="shared" si="315"/>
        <v/>
      </c>
      <c r="C490" t="str">
        <f t="shared" si="316"/>
        <v/>
      </c>
      <c r="D490" t="str">
        <f t="shared" si="317"/>
        <v/>
      </c>
      <c r="E490" t="str">
        <f t="shared" si="318"/>
        <v/>
      </c>
      <c r="F490" t="str">
        <f t="shared" si="319"/>
        <v/>
      </c>
      <c r="G490" t="str">
        <f t="shared" si="320"/>
        <v/>
      </c>
      <c r="H490" t="str">
        <f>IF(V490="","",IFERROR(VLOOKUP(TRIM($V490),KEY!$B$2:$F$72,3,FALSE),""))</f>
        <v/>
      </c>
      <c r="I490" t="str">
        <f t="shared" si="321"/>
        <v/>
      </c>
      <c r="J490" t="str">
        <f t="shared" si="322"/>
        <v/>
      </c>
      <c r="K490" t="str">
        <f t="shared" si="323"/>
        <v/>
      </c>
      <c r="L490" t="str">
        <f t="shared" si="324"/>
        <v/>
      </c>
      <c r="M490" t="str">
        <f>IF(V490="","",IFERROR(VLOOKUP(TRIM($V490),KEY!$B$2:$F$72,5,FALSE),""))</f>
        <v/>
      </c>
      <c r="N490" t="str">
        <f t="shared" si="325"/>
        <v/>
      </c>
      <c r="O490" t="str">
        <f t="shared" si="326"/>
        <v/>
      </c>
      <c r="P490" t="str">
        <f t="shared" si="327"/>
        <v/>
      </c>
      <c r="Q490" t="str">
        <f t="shared" si="328"/>
        <v/>
      </c>
      <c r="R490" t="str">
        <f t="shared" si="329"/>
        <v/>
      </c>
      <c r="S490" t="str">
        <f t="shared" si="330"/>
        <v/>
      </c>
      <c r="T490" t="str">
        <f>IF(V490="","",IFERROR(VLOOKUP(TRIM($V490),KEY!$B$2:$F$72,2,FALSE),""))</f>
        <v/>
      </c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</row>
    <row r="491" spans="2:39" x14ac:dyDescent="0.35">
      <c r="B491" t="str">
        <f t="shared" si="315"/>
        <v/>
      </c>
      <c r="C491" t="str">
        <f t="shared" si="316"/>
        <v/>
      </c>
      <c r="D491" t="str">
        <f t="shared" si="317"/>
        <v/>
      </c>
      <c r="E491" t="str">
        <f t="shared" si="318"/>
        <v/>
      </c>
      <c r="F491" t="str">
        <f t="shared" si="319"/>
        <v/>
      </c>
      <c r="G491" t="str">
        <f t="shared" si="320"/>
        <v/>
      </c>
      <c r="H491" t="str">
        <f>IF(V491="","",IFERROR(VLOOKUP(TRIM($V491),KEY!$B$2:$F$72,3,FALSE),""))</f>
        <v/>
      </c>
      <c r="I491" t="str">
        <f t="shared" si="321"/>
        <v/>
      </c>
      <c r="J491" t="str">
        <f t="shared" si="322"/>
        <v/>
      </c>
      <c r="K491" t="str">
        <f t="shared" si="323"/>
        <v/>
      </c>
      <c r="L491" t="str">
        <f t="shared" si="324"/>
        <v/>
      </c>
      <c r="M491" t="str">
        <f>IF(V491="","",IFERROR(VLOOKUP(TRIM($V491),KEY!$B$2:$F$72,5,FALSE),""))</f>
        <v/>
      </c>
      <c r="N491" t="str">
        <f t="shared" si="325"/>
        <v/>
      </c>
      <c r="O491" t="str">
        <f t="shared" si="326"/>
        <v/>
      </c>
      <c r="P491" t="str">
        <f t="shared" si="327"/>
        <v/>
      </c>
      <c r="Q491" t="str">
        <f t="shared" si="328"/>
        <v/>
      </c>
      <c r="R491" t="str">
        <f t="shared" si="329"/>
        <v/>
      </c>
      <c r="S491" t="str">
        <f t="shared" si="330"/>
        <v/>
      </c>
      <c r="T491" t="str">
        <f>IF(V491="","",IFERROR(VLOOKUP(TRIM($V491),KEY!$B$2:$F$72,2,FALSE),""))</f>
        <v/>
      </c>
      <c r="V491" s="79"/>
      <c r="W491" s="79" t="s">
        <v>202</v>
      </c>
      <c r="X491" s="79" t="s">
        <v>202</v>
      </c>
      <c r="Y491" s="79" t="s">
        <v>202</v>
      </c>
      <c r="Z491" s="79" t="s">
        <v>202</v>
      </c>
      <c r="AA491" s="79" t="s">
        <v>202</v>
      </c>
      <c r="AB491" s="79" t="s">
        <v>202</v>
      </c>
      <c r="AC491" s="79" t="s">
        <v>202</v>
      </c>
      <c r="AD491" s="79" t="s">
        <v>202</v>
      </c>
      <c r="AE491" s="79" t="s">
        <v>202</v>
      </c>
      <c r="AF491" s="79" t="s">
        <v>202</v>
      </c>
      <c r="AG491" s="79" t="s">
        <v>202</v>
      </c>
      <c r="AH491" s="79" t="s">
        <v>202</v>
      </c>
      <c r="AI491" s="79" t="s">
        <v>202</v>
      </c>
      <c r="AJ491" s="79" t="s">
        <v>202</v>
      </c>
      <c r="AK491" s="79" t="s">
        <v>202</v>
      </c>
      <c r="AL491" s="79" t="s">
        <v>202</v>
      </c>
      <c r="AM491" s="79" t="s">
        <v>202</v>
      </c>
    </row>
    <row r="492" spans="2:39" x14ac:dyDescent="0.35">
      <c r="B492" t="str">
        <f t="shared" si="315"/>
        <v/>
      </c>
      <c r="C492" t="str">
        <f t="shared" si="316"/>
        <v/>
      </c>
      <c r="D492" t="str">
        <f t="shared" si="317"/>
        <v/>
      </c>
      <c r="E492" t="str">
        <f t="shared" si="318"/>
        <v/>
      </c>
      <c r="F492" t="str">
        <f t="shared" si="319"/>
        <v/>
      </c>
      <c r="G492" t="str">
        <f t="shared" si="320"/>
        <v/>
      </c>
      <c r="H492" t="str">
        <f>IF(V492="","",IFERROR(VLOOKUP(TRIM($V492),KEY!$B$2:$F$72,3,FALSE),""))</f>
        <v/>
      </c>
      <c r="I492" t="str">
        <f t="shared" si="321"/>
        <v/>
      </c>
      <c r="J492" t="str">
        <f t="shared" si="322"/>
        <v/>
      </c>
      <c r="K492" t="str">
        <f t="shared" si="323"/>
        <v/>
      </c>
      <c r="L492" t="str">
        <f t="shared" si="324"/>
        <v/>
      </c>
      <c r="M492" t="str">
        <f>IF(V492="","",IFERROR(VLOOKUP(TRIM($V492),KEY!$B$2:$F$72,5,FALSE),""))</f>
        <v/>
      </c>
      <c r="N492" t="str">
        <f t="shared" si="325"/>
        <v/>
      </c>
      <c r="O492" t="str">
        <f t="shared" si="326"/>
        <v/>
      </c>
      <c r="P492" t="str">
        <f t="shared" si="327"/>
        <v/>
      </c>
      <c r="Q492" t="str">
        <f t="shared" si="328"/>
        <v/>
      </c>
      <c r="R492" t="str">
        <f t="shared" si="329"/>
        <v/>
      </c>
      <c r="S492" t="str">
        <f t="shared" si="330"/>
        <v/>
      </c>
      <c r="T492" t="str">
        <f>IF(V492="","",IFERROR(VLOOKUP(TRIM($V492),KEY!$B$2:$F$72,2,FALSE),""))</f>
        <v/>
      </c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</row>
    <row r="493" spans="2:39" ht="15.5" x14ac:dyDescent="0.35">
      <c r="T493" t="str">
        <f>IF(V493="","",IFERROR(VLOOKUP(TRIM($V493),KEY!$B$2:$F$72,2,FALSE),""))</f>
        <v/>
      </c>
      <c r="V493" s="1" t="s">
        <v>203</v>
      </c>
      <c r="W493" s="57">
        <f t="shared" ref="W493:X493" si="331">SUM(W422:W492)</f>
        <v>1386</v>
      </c>
      <c r="X493" s="57">
        <f t="shared" si="331"/>
        <v>48</v>
      </c>
      <c r="Y493" s="58">
        <f>X493/W493</f>
        <v>3.4632034632034632E-2</v>
      </c>
      <c r="Z493" s="57">
        <f t="shared" ref="Z493:AD493" si="332">SUM(Z422:Z492)</f>
        <v>5</v>
      </c>
      <c r="AA493" s="57">
        <f t="shared" si="332"/>
        <v>48</v>
      </c>
      <c r="AB493" s="57">
        <f t="shared" si="332"/>
        <v>0</v>
      </c>
      <c r="AC493" s="57">
        <f t="shared" si="332"/>
        <v>7</v>
      </c>
      <c r="AD493" s="57">
        <f t="shared" si="332"/>
        <v>60</v>
      </c>
      <c r="AE493" s="58">
        <f>AD493/W493</f>
        <v>4.3290043290043288E-2</v>
      </c>
      <c r="AF493" s="57">
        <f>SUM(AF422:AF492)</f>
        <v>120</v>
      </c>
      <c r="AG493" s="57">
        <f>SUM(AG422:AG492)</f>
        <v>0</v>
      </c>
      <c r="AH493" s="57">
        <f>SUM(AH422:AH492)</f>
        <v>1203</v>
      </c>
      <c r="AI493" s="58">
        <f>(AF493+AG493+AH493)/W493</f>
        <v>0.95454545454545459</v>
      </c>
      <c r="AJ493" s="57">
        <f>SUM(AJ422:AJ492)</f>
        <v>1</v>
      </c>
      <c r="AK493" s="57">
        <f>SUM(AK422:AK492)</f>
        <v>2</v>
      </c>
      <c r="AL493" s="57">
        <f>SUM(AL422:AL492)</f>
        <v>0</v>
      </c>
      <c r="AM493" s="58">
        <f>(AJ493+AK493+AL493)/W493</f>
        <v>2.1645021645021645E-3</v>
      </c>
    </row>
    <row r="494" spans="2:39" x14ac:dyDescent="0.35">
      <c r="J494" t="str">
        <f ca="1">$AB$1&amp;"-"&amp;O494</f>
        <v>May 2026-RGN-6</v>
      </c>
      <c r="N494" t="s">
        <v>204</v>
      </c>
      <c r="O494" t="str">
        <f ca="1">T494&amp;"-"&amp;P494</f>
        <v>RGN-6</v>
      </c>
      <c r="P494">
        <f ca="1">COUNTIFS(T494:T502,T494,Q494:Q502,"&lt;"&amp;Q494)+1</f>
        <v>6</v>
      </c>
      <c r="Q494">
        <f ca="1">S494+(R494/100)</f>
        <v>6.01</v>
      </c>
      <c r="R494">
        <f>COUNTIFS(T494:T502,T494,V494:V502,"&lt;"&amp;V494)+1</f>
        <v>1</v>
      </c>
      <c r="S494">
        <f ca="1">COUNTIFS(T494:T502,T494,Y494:Y502,"&gt;"&amp;Y494)+1</f>
        <v>6</v>
      </c>
      <c r="T494" t="s">
        <v>205</v>
      </c>
      <c r="V494" t="s">
        <v>204</v>
      </c>
      <c r="W494" s="1">
        <f ca="1">SUMIF(H422:W492,N494,W422:W492)</f>
        <v>189</v>
      </c>
      <c r="X494" s="1">
        <f ca="1">SUMIF(H422:X492,N494,X422:X492)</f>
        <v>3</v>
      </c>
      <c r="Y494" s="3">
        <f t="shared" ref="Y494:Y496" ca="1" si="333">X494/W494</f>
        <v>1.5873015873015872E-2</v>
      </c>
      <c r="Z494" s="1">
        <f ca="1">SUMIF(H422:Z492,N494,Z422:Z492)</f>
        <v>0</v>
      </c>
      <c r="AA494" s="1">
        <f ca="1">SUMIF(H422:AA492,N494,AA422:AA492)</f>
        <v>3</v>
      </c>
      <c r="AB494" s="1">
        <f ca="1">SUMIF(H422:AB492,N494,AB422:AB492)</f>
        <v>0</v>
      </c>
      <c r="AC494" s="1">
        <f ca="1">SUMIF(H422:AC492,N494,AC422:AC492)</f>
        <v>0</v>
      </c>
      <c r="AD494" s="1">
        <f ca="1">SUMIF(H422:AD492,N494,AD422:AD492)</f>
        <v>3</v>
      </c>
      <c r="AE494" s="3">
        <f t="shared" ref="AE494:AE496" ca="1" si="334">AD494/W494</f>
        <v>1.5873015873015872E-2</v>
      </c>
      <c r="AF494" s="1">
        <f ca="1">SUMIF(H422:AF492,N494,AF422:AF492)</f>
        <v>1</v>
      </c>
      <c r="AG494" s="1">
        <f ca="1">SUMIF(H422:AG492,N494,AG422:AG492)</f>
        <v>0</v>
      </c>
      <c r="AH494" s="1">
        <f ca="1">SUMIF(H422:AH492,N494,AH422:AH492)</f>
        <v>184</v>
      </c>
      <c r="AI494" s="3">
        <f t="shared" ref="AI494:AI496" ca="1" si="335">(AF494+AG494+AH494)/W494</f>
        <v>0.97883597883597884</v>
      </c>
      <c r="AJ494" s="1">
        <f ca="1">SUMIF(H422:AJ492,N494,AJ422:AJ492)</f>
        <v>0</v>
      </c>
      <c r="AK494" s="1">
        <f ca="1">SUMIF(H422:AK492,N494,AK422:AK492)</f>
        <v>1</v>
      </c>
      <c r="AL494" s="1">
        <f ca="1">SUMIF(H422:AL492,N494,AL422:AL492)</f>
        <v>0</v>
      </c>
      <c r="AM494" s="3">
        <f t="shared" ref="AM494:AM496" ca="1" si="336">(AJ494+AK494+AL494)/W494</f>
        <v>5.2910052910052907E-3</v>
      </c>
    </row>
    <row r="495" spans="2:39" x14ac:dyDescent="0.35">
      <c r="J495" t="str">
        <f t="shared" ref="J495:J496" ca="1" si="337">$AB$1&amp;"-"&amp;O495</f>
        <v>May 2026-RGN-8</v>
      </c>
      <c r="N495" t="s">
        <v>206</v>
      </c>
      <c r="O495" t="str">
        <f t="shared" ref="O495:O496" ca="1" si="338">T495&amp;"-"&amp;P495</f>
        <v>RGN-8</v>
      </c>
      <c r="P495">
        <f ca="1">COUNTIFS(T494:T502,T495,Q494:Q502,"&lt;"&amp;Q495)+1</f>
        <v>8</v>
      </c>
      <c r="Q495">
        <f t="shared" ref="Q495:Q496" ca="1" si="339">S495+(R495/100)</f>
        <v>8.02</v>
      </c>
      <c r="R495">
        <f>COUNTIFS(T494:T502,T495,V494:V502,"&lt;"&amp;V495)+1</f>
        <v>2</v>
      </c>
      <c r="S495">
        <f ca="1">COUNTIFS(T494:T502,T495,Y494:Y502,"&gt;"&amp;Y495)+1</f>
        <v>8</v>
      </c>
      <c r="T495" t="s">
        <v>205</v>
      </c>
      <c r="V495" t="s">
        <v>206</v>
      </c>
      <c r="W495" s="1">
        <f ca="1">SUMIF(H422:W492,N495,W422:W492)</f>
        <v>82</v>
      </c>
      <c r="X495" s="1">
        <f ca="1">SUMIF(H422:X492,N495,X422:X492)</f>
        <v>0</v>
      </c>
      <c r="Y495" s="3">
        <f t="shared" ca="1" si="333"/>
        <v>0</v>
      </c>
      <c r="Z495" s="1">
        <f ca="1">SUMIF(H422:Z492,N495,Z422:Z492)</f>
        <v>0</v>
      </c>
      <c r="AA495" s="1">
        <f ca="1">SUMIF(H422:AA492,N495,AA422:AA492)</f>
        <v>0</v>
      </c>
      <c r="AB495" s="1">
        <f ca="1">SUMIF(H422:AB492,N495,AB422:AB492)</f>
        <v>0</v>
      </c>
      <c r="AC495" s="1">
        <f ca="1">SUMIF(H422:AC492,N495,AC422:AC492)</f>
        <v>0</v>
      </c>
      <c r="AD495" s="1">
        <f ca="1">SUMIF(H422:AD492,N495,AD422:AD492)</f>
        <v>0</v>
      </c>
      <c r="AE495" s="3">
        <f t="shared" ca="1" si="334"/>
        <v>0</v>
      </c>
      <c r="AF495" s="1">
        <f ca="1">SUMIF(H422:AF492,N495,AF422:AF492)</f>
        <v>0</v>
      </c>
      <c r="AG495" s="1">
        <f ca="1">SUMIF(H422:AG492,N495,AG422:AG492)</f>
        <v>0</v>
      </c>
      <c r="AH495" s="1">
        <f ca="1">SUMIF(H422:AH492,N495,AH422:AH492)</f>
        <v>82</v>
      </c>
      <c r="AI495" s="3">
        <f t="shared" ca="1" si="335"/>
        <v>1</v>
      </c>
      <c r="AJ495" s="1">
        <f ca="1">SUMIF(H422:AJ492,N495,AJ422:AJ492)</f>
        <v>0</v>
      </c>
      <c r="AK495" s="1">
        <f ca="1">SUMIF(H422:AK492,N495,AK422:AK492)</f>
        <v>0</v>
      </c>
      <c r="AL495" s="1">
        <f ca="1">SUMIF(H422:AL492,N495,AL422:AL492)</f>
        <v>0</v>
      </c>
      <c r="AM495" s="3">
        <f t="shared" ca="1" si="336"/>
        <v>0</v>
      </c>
    </row>
    <row r="496" spans="2:39" x14ac:dyDescent="0.35">
      <c r="J496" t="str">
        <f t="shared" ca="1" si="337"/>
        <v>May 2026-RGN-4</v>
      </c>
      <c r="N496" t="s">
        <v>207</v>
      </c>
      <c r="O496" t="str">
        <f t="shared" ca="1" si="338"/>
        <v>RGN-4</v>
      </c>
      <c r="P496">
        <f ca="1">COUNTIFS(T494:T502,T496,Q494:Q502,"&lt;"&amp;Q496)+1</f>
        <v>4</v>
      </c>
      <c r="Q496">
        <f t="shared" ca="1" si="339"/>
        <v>4.03</v>
      </c>
      <c r="R496">
        <f>COUNTIFS(T494:T502,T496,V494:V502,"&lt;"&amp;V496)+1</f>
        <v>3</v>
      </c>
      <c r="S496">
        <f ca="1">COUNTIFS(T494:T502,T496,Y494:Y502,"&gt;"&amp;Y496)+1</f>
        <v>4</v>
      </c>
      <c r="T496" t="s">
        <v>205</v>
      </c>
      <c r="V496" t="s">
        <v>207</v>
      </c>
      <c r="W496" s="1">
        <f ca="1">SUMIF(H422:W492,N496,W422:W492)</f>
        <v>54</v>
      </c>
      <c r="X496" s="1">
        <f ca="1">SUMIF(H422:X492,N496,X422:X492)</f>
        <v>1</v>
      </c>
      <c r="Y496" s="3">
        <f t="shared" ca="1" si="333"/>
        <v>1.8518518518518517E-2</v>
      </c>
      <c r="Z496" s="1">
        <f ca="1">SUMIF(H422:Z492,N496,Z422:Z492)</f>
        <v>0</v>
      </c>
      <c r="AA496" s="1">
        <f ca="1">SUMIF(H422:AA492,N496,AA422:AA492)</f>
        <v>1</v>
      </c>
      <c r="AB496" s="1">
        <f ca="1">SUMIF(H422:AB492,N496,AB422:AB492)</f>
        <v>0</v>
      </c>
      <c r="AC496" s="1">
        <f ca="1">SUMIF(H422:AC492,N496,AC422:AC492)</f>
        <v>0</v>
      </c>
      <c r="AD496" s="1">
        <f ca="1">SUMIF(H422:AD492,N496,AD422:AD492)</f>
        <v>1</v>
      </c>
      <c r="AE496" s="3">
        <f t="shared" ca="1" si="334"/>
        <v>1.8518518518518517E-2</v>
      </c>
      <c r="AF496" s="1">
        <f ca="1">SUMIF(H422:AF492,N496,AF422:AF492)</f>
        <v>15</v>
      </c>
      <c r="AG496" s="1">
        <f ca="1">SUMIF(H422:AG492,N496,AG422:AG492)</f>
        <v>0</v>
      </c>
      <c r="AH496" s="1">
        <f ca="1">SUMIF(H422:AH492,N496,AH422:AH492)</f>
        <v>38</v>
      </c>
      <c r="AI496" s="3">
        <f t="shared" ca="1" si="335"/>
        <v>0.98148148148148151</v>
      </c>
      <c r="AJ496" s="1">
        <f ca="1">SUMIF(H422:AJ492,N496,AJ422:AJ492)</f>
        <v>0</v>
      </c>
      <c r="AK496" s="1">
        <f ca="1">SUMIF(H422:AK492,N496,AK422:AK492)</f>
        <v>0</v>
      </c>
      <c r="AL496" s="1">
        <f ca="1">SUMIF(H422:AL492,N496,AL422:AL492)</f>
        <v>0</v>
      </c>
      <c r="AM496" s="3">
        <f t="shared" ca="1" si="336"/>
        <v>0</v>
      </c>
    </row>
    <row r="497" spans="1:39" x14ac:dyDescent="0.35">
      <c r="J497" t="str">
        <f t="shared" ref="J497:J501" ca="1" si="340">$AB$1&amp;"-"&amp;O497</f>
        <v>May 2026-RGN-7</v>
      </c>
      <c r="N497" t="s">
        <v>208</v>
      </c>
      <c r="O497" t="str">
        <f t="shared" ref="O497:O501" ca="1" si="341">T497&amp;"-"&amp;P497</f>
        <v>RGN-7</v>
      </c>
      <c r="P497">
        <f ca="1">COUNTIFS(T493:T501,T497,Q493:Q501,"&lt;"&amp;Q497)+1</f>
        <v>7</v>
      </c>
      <c r="Q497">
        <f t="shared" ref="Q497:Q501" ca="1" si="342">S497+(R497/100)</f>
        <v>7.04</v>
      </c>
      <c r="R497">
        <f>COUNTIFS(T493:T501,T497,V493:V501,"&lt;"&amp;V497)+1</f>
        <v>4</v>
      </c>
      <c r="S497">
        <f ca="1">COUNTIFS(T493:T501,T497,Y493:Y501,"&gt;"&amp;Y497)+1</f>
        <v>7</v>
      </c>
      <c r="T497" t="s">
        <v>205</v>
      </c>
      <c r="V497" t="s">
        <v>208</v>
      </c>
      <c r="W497" s="1">
        <f ca="1">SUMIF(H421:W491,N497,W421:W491)</f>
        <v>255</v>
      </c>
      <c r="X497" s="1">
        <f ca="1">SUMIF(H421:X491,N497,X421:X491)</f>
        <v>3</v>
      </c>
      <c r="Y497" s="3">
        <f t="shared" ref="Y497:Y501" ca="1" si="343">X497/W497</f>
        <v>1.1764705882352941E-2</v>
      </c>
      <c r="Z497" s="1">
        <f ca="1">SUMIF(H421:Z491,N497,Z421:Z491)</f>
        <v>0</v>
      </c>
      <c r="AA497" s="1">
        <f ca="1">SUMIF(H421:AA491,N497,AA421:AA491)</f>
        <v>3</v>
      </c>
      <c r="AB497" s="1">
        <f ca="1">SUMIF(H421:AB491,N497,AB421:AB491)</f>
        <v>0</v>
      </c>
      <c r="AC497" s="1">
        <f ca="1">SUMIF(H421:AC491,N497,AC421:AC491)</f>
        <v>3</v>
      </c>
      <c r="AD497" s="1">
        <f ca="1">SUMIF(H421:AD491,N497,AD421:AD491)</f>
        <v>6</v>
      </c>
      <c r="AE497" s="3">
        <f t="shared" ref="AE497:AE501" ca="1" si="344">AD497/W497</f>
        <v>2.3529411764705882E-2</v>
      </c>
      <c r="AF497" s="1">
        <f ca="1">SUMIF(H421:AF491,N497,AF421:AF491)</f>
        <v>79</v>
      </c>
      <c r="AG497" s="1">
        <f ca="1">SUMIF(H421:AG491,N497,AG421:AG491)</f>
        <v>0</v>
      </c>
      <c r="AH497" s="1">
        <f ca="1">SUMIF(H421:AH491,N497,AH421:AH491)</f>
        <v>169</v>
      </c>
      <c r="AI497" s="3">
        <f t="shared" ref="AI497:AI501" ca="1" si="345">(AF497+AG497+AH497)/W497</f>
        <v>0.97254901960784312</v>
      </c>
      <c r="AJ497" s="1">
        <f ca="1">SUMIF(H421:AJ491,N497,AJ421:AJ491)</f>
        <v>1</v>
      </c>
      <c r="AK497" s="1">
        <f ca="1">SUMIF(H421:AK491,N497,AK421:AK491)</f>
        <v>0</v>
      </c>
      <c r="AL497" s="1">
        <f ca="1">SUMIF(H421:AL491,N497,AL421:AL491)</f>
        <v>0</v>
      </c>
      <c r="AM497" s="3">
        <f t="shared" ref="AM497:AM501" ca="1" si="346">(AJ497+AK497+AL497)/W497</f>
        <v>3.9215686274509803E-3</v>
      </c>
    </row>
    <row r="498" spans="1:39" x14ac:dyDescent="0.35">
      <c r="J498" t="str">
        <f t="shared" ca="1" si="340"/>
        <v>May 2026-RGN-2</v>
      </c>
      <c r="N498" t="s">
        <v>209</v>
      </c>
      <c r="O498" t="str">
        <f t="shared" ca="1" si="341"/>
        <v>RGN-2</v>
      </c>
      <c r="P498">
        <f ca="1">COUNTIFS(T493:T501,T498,Q493:Q501,"&lt;"&amp;Q498)+1</f>
        <v>2</v>
      </c>
      <c r="Q498">
        <f t="shared" ca="1" si="342"/>
        <v>2.0499999999999998</v>
      </c>
      <c r="R498">
        <f>COUNTIFS(T493:T501,T498,V493:V501,"&lt;"&amp;V498)+1</f>
        <v>5</v>
      </c>
      <c r="S498">
        <f ca="1">COUNTIFS(T493:T501,T498,Y493:Y501,"&gt;"&amp;Y498)+1</f>
        <v>2</v>
      </c>
      <c r="T498" t="s">
        <v>205</v>
      </c>
      <c r="V498" t="s">
        <v>209</v>
      </c>
      <c r="W498" s="1">
        <f ca="1">SUMIF(H421:W491,N498,W421:W491)</f>
        <v>376</v>
      </c>
      <c r="X498" s="1">
        <f ca="1">SUMIF(H421:X491,N498,X421:X491)</f>
        <v>29</v>
      </c>
      <c r="Y498" s="3">
        <f t="shared" ca="1" si="343"/>
        <v>7.7127659574468085E-2</v>
      </c>
      <c r="Z498" s="1">
        <f ca="1">SUMIF(H421:Z491,N498,Z421:Z491)</f>
        <v>3</v>
      </c>
      <c r="AA498" s="1">
        <f ca="1">SUMIF(H421:AA491,N498,AA421:AA491)</f>
        <v>29</v>
      </c>
      <c r="AB498" s="1">
        <f ca="1">SUMIF(H421:AB491,N498,AB421:AB491)</f>
        <v>0</v>
      </c>
      <c r="AC498" s="1">
        <f ca="1">SUMIF(H421:AC491,N498,AC421:AC491)</f>
        <v>2</v>
      </c>
      <c r="AD498" s="1">
        <f ca="1">SUMIF(H421:AD491,N498,AD421:AD491)</f>
        <v>34</v>
      </c>
      <c r="AE498" s="3">
        <f t="shared" ca="1" si="344"/>
        <v>9.0425531914893623E-2</v>
      </c>
      <c r="AF498" s="1">
        <f ca="1">SUMIF(H421:AF491,N498,AF421:AF491)</f>
        <v>12</v>
      </c>
      <c r="AG498" s="1">
        <f ca="1">SUMIF(H421:AG491,N498,AG421:AG491)</f>
        <v>0</v>
      </c>
      <c r="AH498" s="1">
        <f ca="1">SUMIF(H421:AH491,N498,AH421:AH491)</f>
        <v>329</v>
      </c>
      <c r="AI498" s="3">
        <f t="shared" ca="1" si="345"/>
        <v>0.90691489361702127</v>
      </c>
      <c r="AJ498" s="1">
        <f ca="1">SUMIF(H421:AJ491,N498,AJ421:AJ491)</f>
        <v>0</v>
      </c>
      <c r="AK498" s="1">
        <f ca="1">SUMIF(H421:AK491,N498,AK421:AK491)</f>
        <v>1</v>
      </c>
      <c r="AL498" s="1">
        <f ca="1">SUMIF(H421:AL491,N498,AL421:AL491)</f>
        <v>0</v>
      </c>
      <c r="AM498" s="3">
        <f t="shared" ca="1" si="346"/>
        <v>2.6595744680851063E-3</v>
      </c>
    </row>
    <row r="499" spans="1:39" x14ac:dyDescent="0.35">
      <c r="J499" t="str">
        <f t="shared" ca="1" si="340"/>
        <v>May 2026-RGN-5</v>
      </c>
      <c r="N499" t="s">
        <v>210</v>
      </c>
      <c r="O499" t="str">
        <f t="shared" ca="1" si="341"/>
        <v>RGN-5</v>
      </c>
      <c r="P499">
        <f ca="1">COUNTIFS(T493:T501,T499,Q493:Q501,"&lt;"&amp;Q499)+1</f>
        <v>5</v>
      </c>
      <c r="Q499">
        <f t="shared" ca="1" si="342"/>
        <v>5.0599999999999996</v>
      </c>
      <c r="R499">
        <f>COUNTIFS(T493:T501,T499,V493:V501,"&lt;"&amp;V499)+1</f>
        <v>6</v>
      </c>
      <c r="S499">
        <f ca="1">COUNTIFS(T493:T501,T499,Y493:Y501,"&gt;"&amp;Y499)+1</f>
        <v>5</v>
      </c>
      <c r="T499" t="s">
        <v>205</v>
      </c>
      <c r="V499" t="s">
        <v>210</v>
      </c>
      <c r="W499" s="1">
        <f ca="1">SUMIF(H421:W491,N499,W421:W491)</f>
        <v>250</v>
      </c>
      <c r="X499" s="1">
        <f ca="1">SUMIF(H421:X491,N499,X421:X491)</f>
        <v>4</v>
      </c>
      <c r="Y499" s="3">
        <f t="shared" ca="1" si="343"/>
        <v>1.6E-2</v>
      </c>
      <c r="Z499" s="1">
        <f ca="1">SUMIF(H421:Z491,N499,Z421:Z491)</f>
        <v>1</v>
      </c>
      <c r="AA499" s="1">
        <f ca="1">SUMIF(H421:AA491,N499,AA421:AA491)</f>
        <v>4</v>
      </c>
      <c r="AB499" s="1">
        <f ca="1">SUMIF(H421:AB491,N499,AB421:AB491)</f>
        <v>0</v>
      </c>
      <c r="AC499" s="1">
        <f ca="1">SUMIF(H421:AC491,N499,AC421:AC491)</f>
        <v>2</v>
      </c>
      <c r="AD499" s="1">
        <f ca="1">SUMIF(H421:AD491,N499,AD421:AD491)</f>
        <v>7</v>
      </c>
      <c r="AE499" s="3">
        <f t="shared" ca="1" si="344"/>
        <v>2.8000000000000001E-2</v>
      </c>
      <c r="AF499" s="1">
        <f ca="1">SUMIF(H421:AF491,N499,AF421:AF491)</f>
        <v>3</v>
      </c>
      <c r="AG499" s="1">
        <f ca="1">SUMIF(H421:AG491,N499,AG421:AG491)</f>
        <v>0</v>
      </c>
      <c r="AH499" s="1">
        <f ca="1">SUMIF(H421:AH491,N499,AH421:AH491)</f>
        <v>240</v>
      </c>
      <c r="AI499" s="3">
        <f t="shared" ca="1" si="345"/>
        <v>0.97199999999999998</v>
      </c>
      <c r="AJ499" s="1">
        <f ca="1">SUMIF(H421:AJ491,N499,AJ421:AJ491)</f>
        <v>0</v>
      </c>
      <c r="AK499" s="1">
        <f ca="1">SUMIF(H421:AK491,N499,AK421:AK491)</f>
        <v>0</v>
      </c>
      <c r="AL499" s="1">
        <f ca="1">SUMIF(H421:AL491,N499,AL421:AL491)</f>
        <v>0</v>
      </c>
      <c r="AM499" s="3">
        <f t="shared" ca="1" si="346"/>
        <v>0</v>
      </c>
    </row>
    <row r="500" spans="1:39" x14ac:dyDescent="0.35">
      <c r="J500" t="str">
        <f t="shared" ca="1" si="340"/>
        <v>May 2026-RGN-3</v>
      </c>
      <c r="N500" t="s">
        <v>211</v>
      </c>
      <c r="O500" t="str">
        <f t="shared" ca="1" si="341"/>
        <v>RGN-3</v>
      </c>
      <c r="P500">
        <f ca="1">COUNTIFS(T493:T501,T500,Q493:Q501,"&lt;"&amp;Q500)+1</f>
        <v>3</v>
      </c>
      <c r="Q500">
        <f t="shared" ca="1" si="342"/>
        <v>3.07</v>
      </c>
      <c r="R500">
        <f>COUNTIFS(T493:T501,T500,V493:V501,"&lt;"&amp;V500)+1</f>
        <v>7</v>
      </c>
      <c r="S500">
        <f ca="1">COUNTIFS(T493:T501,T500,Y493:Y501,"&gt;"&amp;Y500)+1</f>
        <v>3</v>
      </c>
      <c r="T500" t="s">
        <v>205</v>
      </c>
      <c r="V500" t="s">
        <v>211</v>
      </c>
      <c r="W500" s="1">
        <f ca="1">SUMIF(H421:W491,N500,W421:W491)</f>
        <v>166</v>
      </c>
      <c r="X500" s="1">
        <f ca="1">SUMIF(H421:X491,N500,X421:X491)</f>
        <v>5</v>
      </c>
      <c r="Y500" s="3">
        <f t="shared" ca="1" si="343"/>
        <v>3.0120481927710843E-2</v>
      </c>
      <c r="Z500" s="1">
        <f ca="1">SUMIF(H421:Z491,N500,Z421:Z491)</f>
        <v>0</v>
      </c>
      <c r="AA500" s="1">
        <f ca="1">SUMIF(H421:AA491,N500,AA421:AA491)</f>
        <v>5</v>
      </c>
      <c r="AB500" s="1">
        <f ca="1">SUMIF(H421:AB491,N500,AB421:AB491)</f>
        <v>0</v>
      </c>
      <c r="AC500" s="1">
        <f ca="1">SUMIF(H421:AC491,N500,AC421:AC491)</f>
        <v>0</v>
      </c>
      <c r="AD500" s="1">
        <f ca="1">SUMIF(H421:AD491,N500,AD421:AD491)</f>
        <v>5</v>
      </c>
      <c r="AE500" s="3">
        <f t="shared" ca="1" si="344"/>
        <v>3.0120481927710843E-2</v>
      </c>
      <c r="AF500" s="1">
        <f ca="1">SUMIF(H421:AF491,N500,AF421:AF491)</f>
        <v>0</v>
      </c>
      <c r="AG500" s="1">
        <f ca="1">SUMIF(H421:AG491,N500,AG421:AG491)</f>
        <v>0</v>
      </c>
      <c r="AH500" s="1">
        <f ca="1">SUMIF(H421:AH491,N500,AH421:AH491)</f>
        <v>161</v>
      </c>
      <c r="AI500" s="3">
        <f t="shared" ca="1" si="345"/>
        <v>0.96987951807228912</v>
      </c>
      <c r="AJ500" s="1">
        <f ca="1">SUMIF(H421:AJ491,N500,AJ421:AJ491)</f>
        <v>0</v>
      </c>
      <c r="AK500" s="1">
        <f ca="1">SUMIF(H421:AK491,N500,AK421:AK491)</f>
        <v>0</v>
      </c>
      <c r="AL500" s="1">
        <f ca="1">SUMIF(H421:AL491,N500,AL421:AL491)</f>
        <v>0</v>
      </c>
      <c r="AM500" s="3">
        <f t="shared" ca="1" si="346"/>
        <v>0</v>
      </c>
    </row>
    <row r="501" spans="1:39" x14ac:dyDescent="0.35">
      <c r="J501" t="str">
        <f t="shared" ca="1" si="340"/>
        <v>May 2026-RGN-1</v>
      </c>
      <c r="N501" t="s">
        <v>212</v>
      </c>
      <c r="O501" t="str">
        <f t="shared" ca="1" si="341"/>
        <v>RGN-1</v>
      </c>
      <c r="P501">
        <f ca="1">COUNTIFS(T493:T501,T501,Q493:Q501,"&lt;"&amp;Q501)+1</f>
        <v>1</v>
      </c>
      <c r="Q501">
        <f t="shared" ca="1" si="342"/>
        <v>1.08</v>
      </c>
      <c r="R501">
        <f>COUNTIFS(T493:T501,T501,V493:V501,"&lt;"&amp;V501)+1</f>
        <v>8</v>
      </c>
      <c r="S501">
        <f ca="1">COUNTIFS(T493:T501,T501,Y493:Y501,"&gt;"&amp;Y501)+1</f>
        <v>1</v>
      </c>
      <c r="T501" t="s">
        <v>205</v>
      </c>
      <c r="V501" t="s">
        <v>212</v>
      </c>
      <c r="W501" s="1">
        <f ca="1">SUMIF(H421:W491,N501,W421:W491)</f>
        <v>14</v>
      </c>
      <c r="X501" s="1">
        <f ca="1">SUMIF(H421:X491,N501,X421:X491)</f>
        <v>3</v>
      </c>
      <c r="Y501" s="3">
        <f t="shared" ca="1" si="343"/>
        <v>0.21428571428571427</v>
      </c>
      <c r="Z501" s="1">
        <f ca="1">SUMIF(H421:Z491,N501,Z421:Z491)</f>
        <v>1</v>
      </c>
      <c r="AA501" s="1">
        <f ca="1">SUMIF(H421:AA491,N501,AA421:AA491)</f>
        <v>3</v>
      </c>
      <c r="AB501" s="1">
        <f ca="1">SUMIF(H421:AB491,N501,AB421:AB491)</f>
        <v>0</v>
      </c>
      <c r="AC501" s="1">
        <f ca="1">SUMIF(H421:AC491,N501,AC421:AC491)</f>
        <v>0</v>
      </c>
      <c r="AD501" s="1">
        <f ca="1">SUMIF(H421:AD491,N501,AD421:AD491)</f>
        <v>4</v>
      </c>
      <c r="AE501" s="3">
        <f t="shared" ca="1" si="344"/>
        <v>0.2857142857142857</v>
      </c>
      <c r="AF501" s="1">
        <f ca="1">SUMIF(H421:AF491,N501,AF421:AF491)</f>
        <v>10</v>
      </c>
      <c r="AG501" s="1">
        <f ca="1">SUMIF(H421:AG491,N501,AG421:AG491)</f>
        <v>0</v>
      </c>
      <c r="AH501" s="1">
        <f ca="1">SUMIF(H421:AH491,N501,AH421:AH491)</f>
        <v>0</v>
      </c>
      <c r="AI501" s="3">
        <f t="shared" ca="1" si="345"/>
        <v>0.7142857142857143</v>
      </c>
      <c r="AJ501" s="1">
        <f ca="1">SUMIF(H421:AJ491,N501,AJ421:AJ491)</f>
        <v>0</v>
      </c>
      <c r="AK501" s="1">
        <f ca="1">SUMIF(H421:AK491,N501,AK421:AK491)</f>
        <v>0</v>
      </c>
      <c r="AL501" s="1">
        <f ca="1">SUMIF(H421:AL491,N501,AL421:AL491)</f>
        <v>0</v>
      </c>
      <c r="AM501" s="3">
        <f t="shared" ca="1" si="346"/>
        <v>0</v>
      </c>
    </row>
    <row r="504" spans="1:39" ht="16" customHeight="1" x14ac:dyDescent="0.35">
      <c r="A504" s="2"/>
      <c r="B504" s="2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</row>
    <row r="505" spans="1:39" ht="16" customHeight="1" x14ac:dyDescent="0.35">
      <c r="A505" s="2"/>
      <c r="B505" s="2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</row>
  </sheetData>
  <sortState xmlns:xlrd2="http://schemas.microsoft.com/office/spreadsheetml/2017/richdata2" ref="V4:AM73">
    <sortCondition ref="V4:V73"/>
  </sortState>
  <mergeCells count="8">
    <mergeCell ref="C504:AM504"/>
    <mergeCell ref="C505:AM505"/>
    <mergeCell ref="C420:AM420"/>
    <mergeCell ref="C2:AM2"/>
    <mergeCell ref="C86:AM86"/>
    <mergeCell ref="C170:AM170"/>
    <mergeCell ref="C254:AM254"/>
    <mergeCell ref="C337:AM337"/>
  </mergeCells>
  <phoneticPr fontId="5" type="noConversion"/>
  <conditionalFormatting sqref="V4:V74">
    <cfRule type="duplicateValues" dxfId="5" priority="6"/>
  </conditionalFormatting>
  <conditionalFormatting sqref="V88:V158">
    <cfRule type="duplicateValues" dxfId="4" priority="5"/>
  </conditionalFormatting>
  <conditionalFormatting sqref="V172:V242">
    <cfRule type="duplicateValues" dxfId="3" priority="4"/>
  </conditionalFormatting>
  <conditionalFormatting sqref="V256:V325">
    <cfRule type="duplicateValues" dxfId="2" priority="3"/>
  </conditionalFormatting>
  <conditionalFormatting sqref="V339:V408">
    <cfRule type="duplicateValues" dxfId="1" priority="2"/>
  </conditionalFormatting>
  <conditionalFormatting sqref="V422:V492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C536-6CE7-3A4B-81EF-9FF6AF83DCEC}">
  <sheetPr>
    <tabColor rgb="FF00B0F0"/>
  </sheetPr>
  <dimension ref="A1:U83"/>
  <sheetViews>
    <sheetView workbookViewId="0">
      <selection activeCell="V201" sqref="V201"/>
    </sheetView>
  </sheetViews>
  <sheetFormatPr defaultColWidth="9.1796875" defaultRowHeight="14.5" x14ac:dyDescent="0.35"/>
  <cols>
    <col min="1" max="1" width="9.1796875" style="41" customWidth="1"/>
    <col min="2" max="2" width="28.1796875" style="42" bestFit="1" customWidth="1"/>
    <col min="3" max="3" width="12.453125" style="42" bestFit="1" customWidth="1"/>
    <col min="4" max="4" width="15.81640625" style="42" bestFit="1" customWidth="1"/>
    <col min="5" max="5" width="15.81640625" style="42" customWidth="1"/>
    <col min="6" max="6" width="9.1796875" style="42" customWidth="1"/>
    <col min="7" max="7" width="9.1796875" style="42"/>
    <col min="8" max="8" width="16.453125" style="42" bestFit="1" customWidth="1"/>
    <col min="9" max="9" width="21.453125" style="43" bestFit="1" customWidth="1"/>
    <col min="10" max="11" width="9.1796875" style="43" customWidth="1"/>
    <col min="12" max="16" width="9.1796875" style="43"/>
    <col min="17" max="20" width="9.1796875" style="41"/>
    <col min="21" max="21" width="0" style="41" hidden="1" customWidth="1"/>
    <col min="22" max="16384" width="9.1796875" style="41"/>
  </cols>
  <sheetData>
    <row r="1" spans="1:21" ht="15" customHeight="1" x14ac:dyDescent="0.35">
      <c r="A1" s="41">
        <v>0</v>
      </c>
      <c r="B1" s="44" t="s">
        <v>216</v>
      </c>
      <c r="C1" s="44" t="s">
        <v>217</v>
      </c>
      <c r="D1" s="44" t="s">
        <v>218</v>
      </c>
      <c r="E1" s="44"/>
      <c r="F1" s="44" t="s">
        <v>219</v>
      </c>
      <c r="G1" s="44"/>
      <c r="H1" s="45" t="s">
        <v>220</v>
      </c>
      <c r="I1" s="45" t="s">
        <v>221</v>
      </c>
      <c r="J1" s="45" t="s">
        <v>222</v>
      </c>
      <c r="K1" s="45" t="s">
        <v>223</v>
      </c>
      <c r="L1" s="45"/>
      <c r="M1" s="44"/>
      <c r="N1" s="44"/>
      <c r="O1" s="44"/>
      <c r="P1" s="44"/>
    </row>
    <row r="2" spans="1:21" ht="15" customHeight="1" x14ac:dyDescent="0.35">
      <c r="A2" s="41">
        <f>A1+1</f>
        <v>1</v>
      </c>
      <c r="B2" s="42" t="s">
        <v>146</v>
      </c>
      <c r="C2" s="42" t="s">
        <v>101</v>
      </c>
      <c r="D2" s="42" t="s">
        <v>204</v>
      </c>
      <c r="E2" s="42" t="s">
        <v>224</v>
      </c>
      <c r="F2" s="48">
        <f t="shared" ref="F2:F33" si="0">A2</f>
        <v>1</v>
      </c>
      <c r="H2" s="46" t="s">
        <v>225</v>
      </c>
      <c r="I2" s="47" t="s">
        <v>224</v>
      </c>
      <c r="J2" s="47">
        <v>0</v>
      </c>
      <c r="K2" s="47">
        <f>COUNTIF($E$2:$E$71,I2)</f>
        <v>55</v>
      </c>
      <c r="L2" s="47"/>
      <c r="U2" s="41" t="s">
        <v>226</v>
      </c>
    </row>
    <row r="3" spans="1:21" ht="15" customHeight="1" x14ac:dyDescent="0.35">
      <c r="A3" s="41">
        <f t="shared" ref="A3:A71" si="1">A2+1</f>
        <v>2</v>
      </c>
      <c r="B3" s="42" t="s">
        <v>180</v>
      </c>
      <c r="C3" s="42" t="s">
        <v>101</v>
      </c>
      <c r="D3" s="42" t="s">
        <v>210</v>
      </c>
      <c r="E3" s="42" t="s">
        <v>224</v>
      </c>
      <c r="F3" s="48">
        <f t="shared" si="0"/>
        <v>2</v>
      </c>
      <c r="H3" s="46" t="s">
        <v>227</v>
      </c>
      <c r="I3" s="48" t="s">
        <v>228</v>
      </c>
      <c r="J3" s="47">
        <v>0</v>
      </c>
      <c r="K3" s="47">
        <f>COUNTIF($E$2:$E$71,I2)+COUNTIF($E$2:$E$71,I3)</f>
        <v>62</v>
      </c>
      <c r="L3" s="47"/>
      <c r="U3" s="41" t="s">
        <v>229</v>
      </c>
    </row>
    <row r="4" spans="1:21" ht="15" customHeight="1" x14ac:dyDescent="0.35">
      <c r="A4" s="41">
        <f t="shared" si="1"/>
        <v>3</v>
      </c>
      <c r="B4" s="42" t="s">
        <v>158</v>
      </c>
      <c r="C4" s="42" t="s">
        <v>103</v>
      </c>
      <c r="D4" s="42" t="s">
        <v>204</v>
      </c>
      <c r="E4" s="42" t="s">
        <v>224</v>
      </c>
      <c r="F4" s="48">
        <f t="shared" si="0"/>
        <v>3</v>
      </c>
      <c r="H4" s="46" t="s">
        <v>230</v>
      </c>
      <c r="I4" s="48" t="s">
        <v>204</v>
      </c>
      <c r="J4" s="47">
        <v>1</v>
      </c>
      <c r="K4" s="47">
        <f>COUNTIF($D$2:$D$71,I4)</f>
        <v>18</v>
      </c>
      <c r="L4" s="47"/>
      <c r="U4" s="41" t="s">
        <v>226</v>
      </c>
    </row>
    <row r="5" spans="1:21" ht="15" customHeight="1" x14ac:dyDescent="0.35">
      <c r="A5" s="41">
        <f t="shared" si="1"/>
        <v>4</v>
      </c>
      <c r="B5" s="42" t="s">
        <v>188</v>
      </c>
      <c r="C5" s="42" t="s">
        <v>103</v>
      </c>
      <c r="D5" s="42" t="s">
        <v>210</v>
      </c>
      <c r="E5" s="42" t="s">
        <v>224</v>
      </c>
      <c r="F5" s="48">
        <f t="shared" si="0"/>
        <v>4</v>
      </c>
      <c r="H5" s="46" t="s">
        <v>231</v>
      </c>
      <c r="I5" s="48" t="s">
        <v>206</v>
      </c>
      <c r="J5" s="47">
        <v>1</v>
      </c>
      <c r="K5" s="47">
        <f t="shared" ref="K5:K6" si="2">COUNTIF($D$2:$D$71,I5)</f>
        <v>2</v>
      </c>
      <c r="L5" s="47"/>
      <c r="U5" s="41" t="s">
        <v>229</v>
      </c>
    </row>
    <row r="6" spans="1:21" ht="15" customHeight="1" x14ac:dyDescent="0.35">
      <c r="A6" s="41">
        <f t="shared" si="1"/>
        <v>5</v>
      </c>
      <c r="B6" s="42" t="s">
        <v>178</v>
      </c>
      <c r="C6" s="42" t="s">
        <v>103</v>
      </c>
      <c r="D6" s="49" t="s">
        <v>209</v>
      </c>
      <c r="E6" s="49" t="s">
        <v>224</v>
      </c>
      <c r="F6" s="48">
        <f t="shared" si="0"/>
        <v>5</v>
      </c>
      <c r="H6" s="46" t="s">
        <v>232</v>
      </c>
      <c r="I6" s="48" t="s">
        <v>207</v>
      </c>
      <c r="J6" s="47">
        <v>1</v>
      </c>
      <c r="K6" s="47">
        <f t="shared" si="2"/>
        <v>4</v>
      </c>
      <c r="L6" s="47"/>
      <c r="U6" s="41" t="s">
        <v>226</v>
      </c>
    </row>
    <row r="7" spans="1:21" s="52" customFormat="1" ht="15" customHeight="1" x14ac:dyDescent="0.35">
      <c r="A7" s="41">
        <f t="shared" si="1"/>
        <v>6</v>
      </c>
      <c r="B7" s="42" t="s">
        <v>157</v>
      </c>
      <c r="C7" s="42" t="s">
        <v>103</v>
      </c>
      <c r="D7" s="49" t="s">
        <v>204</v>
      </c>
      <c r="E7" s="49" t="s">
        <v>224</v>
      </c>
      <c r="F7" s="48">
        <f t="shared" si="0"/>
        <v>6</v>
      </c>
      <c r="G7" s="42"/>
      <c r="H7" s="46" t="s">
        <v>233</v>
      </c>
      <c r="I7" s="48" t="s">
        <v>208</v>
      </c>
      <c r="J7" s="50">
        <v>1</v>
      </c>
      <c r="K7" s="47">
        <f t="shared" ref="K7:K11" si="3">COUNTIF($D$2:$D$71,I7)</f>
        <v>8</v>
      </c>
      <c r="L7" s="50"/>
      <c r="M7" s="51"/>
      <c r="N7" s="51"/>
      <c r="O7" s="51"/>
      <c r="P7" s="51"/>
      <c r="U7" s="52" t="s">
        <v>234</v>
      </c>
    </row>
    <row r="8" spans="1:21" ht="15" customHeight="1" x14ac:dyDescent="0.35">
      <c r="A8" s="41">
        <f t="shared" si="1"/>
        <v>7</v>
      </c>
      <c r="B8" s="49" t="s">
        <v>169</v>
      </c>
      <c r="C8" s="42" t="s">
        <v>103</v>
      </c>
      <c r="D8" s="42" t="s">
        <v>208</v>
      </c>
      <c r="E8" s="42" t="s">
        <v>224</v>
      </c>
      <c r="F8" s="48">
        <f t="shared" si="0"/>
        <v>7</v>
      </c>
      <c r="H8" s="46" t="s">
        <v>235</v>
      </c>
      <c r="I8" s="48" t="s">
        <v>209</v>
      </c>
      <c r="J8" s="50">
        <v>1</v>
      </c>
      <c r="K8" s="47">
        <f t="shared" si="3"/>
        <v>9</v>
      </c>
      <c r="L8" s="47"/>
      <c r="U8" s="41" t="s">
        <v>236</v>
      </c>
    </row>
    <row r="9" spans="1:21" ht="15" customHeight="1" x14ac:dyDescent="0.35">
      <c r="A9" s="41">
        <f t="shared" si="1"/>
        <v>8</v>
      </c>
      <c r="B9" s="42" t="s">
        <v>177</v>
      </c>
      <c r="C9" s="42" t="s">
        <v>103</v>
      </c>
      <c r="D9" s="49" t="s">
        <v>209</v>
      </c>
      <c r="E9" s="49" t="s">
        <v>224</v>
      </c>
      <c r="F9" s="48">
        <f t="shared" si="0"/>
        <v>8</v>
      </c>
      <c r="H9" s="46" t="s">
        <v>237</v>
      </c>
      <c r="I9" s="48" t="s">
        <v>210</v>
      </c>
      <c r="J9" s="50">
        <v>1</v>
      </c>
      <c r="K9" s="47">
        <f t="shared" si="3"/>
        <v>10</v>
      </c>
      <c r="L9" s="47"/>
      <c r="U9" s="41" t="s">
        <v>226</v>
      </c>
    </row>
    <row r="10" spans="1:21" ht="15" customHeight="1" x14ac:dyDescent="0.35">
      <c r="A10" s="41">
        <f t="shared" si="1"/>
        <v>9</v>
      </c>
      <c r="B10" s="42" t="s">
        <v>156</v>
      </c>
      <c r="C10" s="42" t="s">
        <v>118</v>
      </c>
      <c r="D10" s="42" t="s">
        <v>204</v>
      </c>
      <c r="E10" s="42" t="s">
        <v>224</v>
      </c>
      <c r="F10" s="48">
        <f t="shared" si="0"/>
        <v>9</v>
      </c>
      <c r="H10" s="46" t="s">
        <v>238</v>
      </c>
      <c r="I10" s="48" t="s">
        <v>211</v>
      </c>
      <c r="J10" s="50">
        <v>1</v>
      </c>
      <c r="K10" s="47">
        <f t="shared" si="3"/>
        <v>10</v>
      </c>
      <c r="L10" s="47"/>
      <c r="U10" s="41" t="s">
        <v>226</v>
      </c>
    </row>
    <row r="11" spans="1:21" ht="15" customHeight="1" x14ac:dyDescent="0.35">
      <c r="A11" s="41">
        <f t="shared" si="1"/>
        <v>10</v>
      </c>
      <c r="B11" s="42" t="s">
        <v>239</v>
      </c>
      <c r="C11" s="42" t="s">
        <v>106</v>
      </c>
      <c r="D11" s="42" t="s">
        <v>207</v>
      </c>
      <c r="E11" s="42" t="s">
        <v>228</v>
      </c>
      <c r="F11" s="48">
        <f t="shared" si="0"/>
        <v>10</v>
      </c>
      <c r="H11" s="46" t="s">
        <v>240</v>
      </c>
      <c r="I11" s="48" t="s">
        <v>212</v>
      </c>
      <c r="J11" s="50">
        <v>1</v>
      </c>
      <c r="K11" s="47">
        <f t="shared" si="3"/>
        <v>1</v>
      </c>
      <c r="L11" s="47"/>
      <c r="U11" s="41" t="s">
        <v>241</v>
      </c>
    </row>
    <row r="12" spans="1:21" ht="15" customHeight="1" x14ac:dyDescent="0.35">
      <c r="A12" s="41">
        <f t="shared" si="1"/>
        <v>11</v>
      </c>
      <c r="B12" s="42" t="s">
        <v>150</v>
      </c>
      <c r="C12" s="42" t="s">
        <v>104</v>
      </c>
      <c r="D12" s="42" t="s">
        <v>204</v>
      </c>
      <c r="E12" s="42" t="s">
        <v>224</v>
      </c>
      <c r="F12" s="48">
        <f t="shared" si="0"/>
        <v>11</v>
      </c>
      <c r="H12" s="46" t="s">
        <v>101</v>
      </c>
      <c r="I12" s="46" t="s">
        <v>101</v>
      </c>
      <c r="J12" s="47">
        <v>2</v>
      </c>
      <c r="K12" s="47">
        <f>COUNTIF($C$2:$C$71,I12)</f>
        <v>3</v>
      </c>
      <c r="L12" s="47"/>
      <c r="U12" s="41" t="s">
        <v>234</v>
      </c>
    </row>
    <row r="13" spans="1:21" ht="15" customHeight="1" x14ac:dyDescent="0.35">
      <c r="A13" s="41">
        <f t="shared" si="1"/>
        <v>12</v>
      </c>
      <c r="B13" s="42" t="s">
        <v>194</v>
      </c>
      <c r="C13" s="42" t="s">
        <v>104</v>
      </c>
      <c r="D13" s="42" t="s">
        <v>211</v>
      </c>
      <c r="E13" s="42" t="s">
        <v>224</v>
      </c>
      <c r="F13" s="48">
        <f t="shared" si="0"/>
        <v>12</v>
      </c>
      <c r="H13" s="46" t="s">
        <v>103</v>
      </c>
      <c r="I13" s="46" t="s">
        <v>103</v>
      </c>
      <c r="J13" s="47">
        <v>2</v>
      </c>
      <c r="K13" s="47">
        <f t="shared" ref="K13:K30" si="4">COUNTIF($C$2:$C$71,I13)</f>
        <v>6</v>
      </c>
      <c r="L13" s="47"/>
      <c r="U13" s="41" t="s">
        <v>229</v>
      </c>
    </row>
    <row r="14" spans="1:21" ht="15" customHeight="1" x14ac:dyDescent="0.35">
      <c r="A14" s="41">
        <f t="shared" si="1"/>
        <v>13</v>
      </c>
      <c r="B14" s="42" t="s">
        <v>201</v>
      </c>
      <c r="C14" s="42" t="s">
        <v>104</v>
      </c>
      <c r="D14" s="42" t="s">
        <v>207</v>
      </c>
      <c r="E14" s="42" t="s">
        <v>228</v>
      </c>
      <c r="F14" s="48">
        <f t="shared" si="0"/>
        <v>13</v>
      </c>
      <c r="H14" s="46" t="s">
        <v>104</v>
      </c>
      <c r="I14" s="46" t="s">
        <v>104</v>
      </c>
      <c r="J14" s="47">
        <v>2</v>
      </c>
      <c r="K14" s="47">
        <f t="shared" si="4"/>
        <v>9</v>
      </c>
      <c r="L14" s="47"/>
      <c r="U14" s="41" t="s">
        <v>236</v>
      </c>
    </row>
    <row r="15" spans="1:21" ht="15" customHeight="1" x14ac:dyDescent="0.35">
      <c r="A15" s="41">
        <f t="shared" si="1"/>
        <v>14</v>
      </c>
      <c r="B15" s="42" t="s">
        <v>185</v>
      </c>
      <c r="C15" s="42" t="s">
        <v>104</v>
      </c>
      <c r="D15" s="42" t="s">
        <v>210</v>
      </c>
      <c r="E15" s="42" t="s">
        <v>224</v>
      </c>
      <c r="F15" s="48">
        <f t="shared" si="0"/>
        <v>14</v>
      </c>
      <c r="H15" s="46" t="s">
        <v>105</v>
      </c>
      <c r="I15" s="46" t="s">
        <v>105</v>
      </c>
      <c r="J15" s="47">
        <v>2</v>
      </c>
      <c r="K15" s="47">
        <f t="shared" si="4"/>
        <v>1</v>
      </c>
      <c r="L15" s="47"/>
      <c r="U15" s="41" t="s">
        <v>234</v>
      </c>
    </row>
    <row r="16" spans="1:21" ht="15" customHeight="1" x14ac:dyDescent="0.35">
      <c r="A16" s="41">
        <f t="shared" si="1"/>
        <v>15</v>
      </c>
      <c r="B16" s="42" t="s">
        <v>174</v>
      </c>
      <c r="C16" s="42" t="s">
        <v>104</v>
      </c>
      <c r="D16" s="42" t="s">
        <v>209</v>
      </c>
      <c r="E16" s="42" t="s">
        <v>224</v>
      </c>
      <c r="F16" s="48">
        <f t="shared" si="0"/>
        <v>15</v>
      </c>
      <c r="H16" s="46" t="s">
        <v>106</v>
      </c>
      <c r="I16" s="46" t="s">
        <v>106</v>
      </c>
      <c r="J16" s="47">
        <v>2</v>
      </c>
      <c r="K16" s="47">
        <f t="shared" si="4"/>
        <v>1</v>
      </c>
      <c r="L16" s="47"/>
      <c r="U16" s="41" t="s">
        <v>234</v>
      </c>
    </row>
    <row r="17" spans="1:21" ht="15" customHeight="1" x14ac:dyDescent="0.35">
      <c r="A17" s="41">
        <f t="shared" si="1"/>
        <v>16</v>
      </c>
      <c r="B17" s="42" t="s">
        <v>186</v>
      </c>
      <c r="C17" s="42" t="s">
        <v>104</v>
      </c>
      <c r="D17" s="42" t="s">
        <v>210</v>
      </c>
      <c r="E17" s="42" t="s">
        <v>224</v>
      </c>
      <c r="F17" s="48">
        <f t="shared" si="0"/>
        <v>16</v>
      </c>
      <c r="H17" s="46" t="s">
        <v>108</v>
      </c>
      <c r="I17" s="46" t="s">
        <v>108</v>
      </c>
      <c r="J17" s="47">
        <v>2</v>
      </c>
      <c r="K17" s="47">
        <f t="shared" si="4"/>
        <v>1</v>
      </c>
      <c r="L17" s="47"/>
      <c r="U17" s="41" t="s">
        <v>236</v>
      </c>
    </row>
    <row r="18" spans="1:21" ht="15" customHeight="1" x14ac:dyDescent="0.35">
      <c r="A18" s="41">
        <f t="shared" si="1"/>
        <v>17</v>
      </c>
      <c r="B18" s="42" t="s">
        <v>164</v>
      </c>
      <c r="C18" s="42" t="s">
        <v>101</v>
      </c>
      <c r="D18" s="42" t="s">
        <v>208</v>
      </c>
      <c r="E18" s="42" t="s">
        <v>224</v>
      </c>
      <c r="F18" s="48">
        <f t="shared" si="0"/>
        <v>17</v>
      </c>
      <c r="H18" s="46" t="s">
        <v>107</v>
      </c>
      <c r="I18" s="46" t="s">
        <v>107</v>
      </c>
      <c r="J18" s="47">
        <v>2</v>
      </c>
      <c r="K18" s="47">
        <f t="shared" si="4"/>
        <v>7</v>
      </c>
      <c r="L18" s="47"/>
      <c r="U18" s="41" t="s">
        <v>229</v>
      </c>
    </row>
    <row r="19" spans="1:21" ht="15" customHeight="1" x14ac:dyDescent="0.35">
      <c r="A19" s="41">
        <f t="shared" si="1"/>
        <v>18</v>
      </c>
      <c r="B19" s="42" t="s">
        <v>165</v>
      </c>
      <c r="C19" s="42" t="s">
        <v>107</v>
      </c>
      <c r="D19" s="42" t="s">
        <v>208</v>
      </c>
      <c r="E19" s="42" t="s">
        <v>224</v>
      </c>
      <c r="F19" s="48">
        <f t="shared" si="0"/>
        <v>18</v>
      </c>
      <c r="H19" s="46" t="s">
        <v>109</v>
      </c>
      <c r="I19" s="48" t="s">
        <v>109</v>
      </c>
      <c r="J19" s="47">
        <v>2</v>
      </c>
      <c r="K19" s="47">
        <f t="shared" si="4"/>
        <v>1</v>
      </c>
      <c r="L19" s="47"/>
      <c r="U19" s="41" t="s">
        <v>241</v>
      </c>
    </row>
    <row r="20" spans="1:21" ht="15" customHeight="1" x14ac:dyDescent="0.35">
      <c r="A20" s="41">
        <f t="shared" si="1"/>
        <v>19</v>
      </c>
      <c r="B20" s="42" t="s">
        <v>173</v>
      </c>
      <c r="C20" s="53" t="s">
        <v>104</v>
      </c>
      <c r="D20" s="42" t="s">
        <v>209</v>
      </c>
      <c r="E20" s="42" t="s">
        <v>224</v>
      </c>
      <c r="F20" s="48">
        <f t="shared" si="0"/>
        <v>19</v>
      </c>
      <c r="H20" s="46" t="s">
        <v>110</v>
      </c>
      <c r="I20" s="48" t="s">
        <v>110</v>
      </c>
      <c r="J20" s="47">
        <v>2</v>
      </c>
      <c r="K20" s="47">
        <f t="shared" si="4"/>
        <v>2</v>
      </c>
      <c r="L20" s="47"/>
      <c r="U20" s="41" t="s">
        <v>226</v>
      </c>
    </row>
    <row r="21" spans="1:21" ht="15" customHeight="1" x14ac:dyDescent="0.35">
      <c r="A21" s="41">
        <f t="shared" si="1"/>
        <v>20</v>
      </c>
      <c r="B21" s="42" t="s">
        <v>179</v>
      </c>
      <c r="C21" s="53" t="s">
        <v>115</v>
      </c>
      <c r="D21" s="42" t="s">
        <v>209</v>
      </c>
      <c r="E21" s="42" t="s">
        <v>224</v>
      </c>
      <c r="F21" s="48">
        <f t="shared" si="0"/>
        <v>20</v>
      </c>
      <c r="H21" s="46" t="s">
        <v>111</v>
      </c>
      <c r="I21" s="48" t="s">
        <v>111</v>
      </c>
      <c r="J21" s="47">
        <v>2</v>
      </c>
      <c r="K21" s="47">
        <f t="shared" si="4"/>
        <v>4</v>
      </c>
      <c r="L21" s="47"/>
      <c r="U21" s="41" t="s">
        <v>226</v>
      </c>
    </row>
    <row r="22" spans="1:21" ht="15" customHeight="1" x14ac:dyDescent="0.35">
      <c r="A22" s="41">
        <f t="shared" si="1"/>
        <v>21</v>
      </c>
      <c r="B22" s="42" t="s">
        <v>198</v>
      </c>
      <c r="C22" s="53" t="s">
        <v>119</v>
      </c>
      <c r="D22" s="42" t="s">
        <v>212</v>
      </c>
      <c r="E22" s="42" t="s">
        <v>228</v>
      </c>
      <c r="F22" s="48">
        <f t="shared" si="0"/>
        <v>21</v>
      </c>
      <c r="H22" s="46" t="s">
        <v>112</v>
      </c>
      <c r="I22" s="48" t="s">
        <v>112</v>
      </c>
      <c r="J22" s="47">
        <v>2</v>
      </c>
      <c r="K22" s="47">
        <f t="shared" si="4"/>
        <v>1</v>
      </c>
      <c r="L22" s="47"/>
      <c r="U22" s="41" t="s">
        <v>229</v>
      </c>
    </row>
    <row r="23" spans="1:21" ht="15" customHeight="1" x14ac:dyDescent="0.35">
      <c r="A23" s="41">
        <f t="shared" si="1"/>
        <v>22</v>
      </c>
      <c r="B23" s="42" t="s">
        <v>213</v>
      </c>
      <c r="C23" s="42" t="s">
        <v>108</v>
      </c>
      <c r="D23" s="42" t="s">
        <v>211</v>
      </c>
      <c r="E23" s="42" t="s">
        <v>224</v>
      </c>
      <c r="F23" s="48">
        <f t="shared" si="0"/>
        <v>22</v>
      </c>
      <c r="H23" s="46" t="s">
        <v>113</v>
      </c>
      <c r="I23" s="48" t="s">
        <v>113</v>
      </c>
      <c r="J23" s="47">
        <v>2</v>
      </c>
      <c r="K23" s="47">
        <f t="shared" si="4"/>
        <v>1</v>
      </c>
      <c r="L23" s="47"/>
      <c r="U23" s="41" t="s">
        <v>229</v>
      </c>
    </row>
    <row r="24" spans="1:21" ht="15" customHeight="1" x14ac:dyDescent="0.35">
      <c r="A24" s="41">
        <f t="shared" si="1"/>
        <v>23</v>
      </c>
      <c r="B24" s="42" t="s">
        <v>191</v>
      </c>
      <c r="C24" s="42" t="s">
        <v>107</v>
      </c>
      <c r="D24" s="42" t="s">
        <v>211</v>
      </c>
      <c r="E24" s="42" t="s">
        <v>224</v>
      </c>
      <c r="F24" s="48">
        <f t="shared" si="0"/>
        <v>23</v>
      </c>
      <c r="H24" s="46" t="s">
        <v>114</v>
      </c>
      <c r="I24" s="48" t="s">
        <v>114</v>
      </c>
      <c r="J24" s="47">
        <v>2</v>
      </c>
      <c r="K24" s="47">
        <f t="shared" si="4"/>
        <v>3</v>
      </c>
      <c r="L24" s="47"/>
      <c r="U24" s="41" t="s">
        <v>241</v>
      </c>
    </row>
    <row r="25" spans="1:21" ht="15" customHeight="1" x14ac:dyDescent="0.35">
      <c r="A25" s="41">
        <f t="shared" si="1"/>
        <v>24</v>
      </c>
      <c r="B25" s="42" t="s">
        <v>166</v>
      </c>
      <c r="C25" s="42" t="s">
        <v>107</v>
      </c>
      <c r="D25" s="42" t="s">
        <v>208</v>
      </c>
      <c r="E25" s="42" t="s">
        <v>224</v>
      </c>
      <c r="F25" s="48">
        <f t="shared" si="0"/>
        <v>24</v>
      </c>
      <c r="H25" s="46" t="s">
        <v>115</v>
      </c>
      <c r="I25" s="48" t="s">
        <v>115</v>
      </c>
      <c r="J25" s="47">
        <v>2</v>
      </c>
      <c r="K25" s="47">
        <f t="shared" si="4"/>
        <v>8</v>
      </c>
      <c r="U25" s="41" t="s">
        <v>226</v>
      </c>
    </row>
    <row r="26" spans="1:21" ht="15" customHeight="1" x14ac:dyDescent="0.35">
      <c r="A26" s="41">
        <f t="shared" si="1"/>
        <v>25</v>
      </c>
      <c r="B26" s="42" t="s">
        <v>181</v>
      </c>
      <c r="C26" s="42" t="s">
        <v>107</v>
      </c>
      <c r="D26" s="42" t="s">
        <v>210</v>
      </c>
      <c r="E26" s="42" t="s">
        <v>224</v>
      </c>
      <c r="F26" s="48">
        <f t="shared" si="0"/>
        <v>25</v>
      </c>
      <c r="H26" s="46" t="s">
        <v>116</v>
      </c>
      <c r="I26" s="54" t="s">
        <v>116</v>
      </c>
      <c r="J26" s="47">
        <v>2</v>
      </c>
      <c r="K26" s="47">
        <f t="shared" si="4"/>
        <v>2</v>
      </c>
      <c r="U26" s="41" t="s">
        <v>241</v>
      </c>
    </row>
    <row r="27" spans="1:21" ht="15" customHeight="1" x14ac:dyDescent="0.35">
      <c r="A27" s="41">
        <f t="shared" si="1"/>
        <v>26</v>
      </c>
      <c r="B27" s="42" t="s">
        <v>183</v>
      </c>
      <c r="C27" s="42" t="s">
        <v>119</v>
      </c>
      <c r="D27" s="42" t="s">
        <v>210</v>
      </c>
      <c r="E27" s="42" t="s">
        <v>224</v>
      </c>
      <c r="F27" s="48">
        <f t="shared" si="0"/>
        <v>26</v>
      </c>
      <c r="H27" s="46" t="s">
        <v>117</v>
      </c>
      <c r="I27" s="48" t="s">
        <v>117</v>
      </c>
      <c r="J27" s="47">
        <v>2</v>
      </c>
      <c r="K27" s="47">
        <f t="shared" si="4"/>
        <v>1</v>
      </c>
      <c r="U27" s="41" t="s">
        <v>229</v>
      </c>
    </row>
    <row r="28" spans="1:21" ht="15" customHeight="1" x14ac:dyDescent="0.35">
      <c r="A28" s="41">
        <f t="shared" si="1"/>
        <v>27</v>
      </c>
      <c r="B28" s="42" t="s">
        <v>215</v>
      </c>
      <c r="C28" s="42" t="s">
        <v>118</v>
      </c>
      <c r="D28" s="42" t="s">
        <v>204</v>
      </c>
      <c r="E28" s="42" t="s">
        <v>224</v>
      </c>
      <c r="F28" s="48">
        <f t="shared" si="0"/>
        <v>27</v>
      </c>
      <c r="H28" s="46" t="s">
        <v>119</v>
      </c>
      <c r="I28" s="48" t="s">
        <v>119</v>
      </c>
      <c r="J28" s="47">
        <v>2</v>
      </c>
      <c r="K28" s="47">
        <f t="shared" si="4"/>
        <v>6</v>
      </c>
    </row>
    <row r="29" spans="1:21" ht="15" customHeight="1" x14ac:dyDescent="0.35">
      <c r="A29" s="41">
        <f t="shared" si="1"/>
        <v>28</v>
      </c>
      <c r="B29" s="42" t="s">
        <v>155</v>
      </c>
      <c r="C29" s="42" t="s">
        <v>110</v>
      </c>
      <c r="D29" s="42" t="s">
        <v>204</v>
      </c>
      <c r="E29" s="42" t="s">
        <v>224</v>
      </c>
      <c r="F29" s="48">
        <f t="shared" si="0"/>
        <v>28</v>
      </c>
      <c r="H29" s="46" t="s">
        <v>118</v>
      </c>
      <c r="I29" s="48" t="s">
        <v>118</v>
      </c>
      <c r="J29" s="47">
        <v>2</v>
      </c>
      <c r="K29" s="47">
        <f t="shared" si="4"/>
        <v>3</v>
      </c>
    </row>
    <row r="30" spans="1:21" ht="15" customHeight="1" x14ac:dyDescent="0.35">
      <c r="A30" s="41">
        <f t="shared" si="1"/>
        <v>29</v>
      </c>
      <c r="B30" s="42" t="s">
        <v>154</v>
      </c>
      <c r="C30" s="42" t="s">
        <v>110</v>
      </c>
      <c r="D30" s="42" t="s">
        <v>204</v>
      </c>
      <c r="E30" s="42" t="s">
        <v>224</v>
      </c>
      <c r="F30" s="48">
        <f t="shared" si="0"/>
        <v>29</v>
      </c>
      <c r="H30" s="46" t="s">
        <v>120</v>
      </c>
      <c r="I30" s="48" t="s">
        <v>120</v>
      </c>
      <c r="J30" s="47">
        <v>2</v>
      </c>
      <c r="K30" s="47">
        <f t="shared" si="4"/>
        <v>2</v>
      </c>
    </row>
    <row r="31" spans="1:21" ht="15" customHeight="1" x14ac:dyDescent="0.35">
      <c r="A31" s="41">
        <f t="shared" si="1"/>
        <v>30</v>
      </c>
      <c r="B31" s="42" t="s">
        <v>192</v>
      </c>
      <c r="C31" s="42" t="s">
        <v>111</v>
      </c>
      <c r="D31" s="42" t="s">
        <v>211</v>
      </c>
      <c r="E31" s="42" t="s">
        <v>224</v>
      </c>
      <c r="F31" s="48">
        <f t="shared" si="0"/>
        <v>30</v>
      </c>
    </row>
    <row r="32" spans="1:21" ht="15" customHeight="1" x14ac:dyDescent="0.35">
      <c r="A32" s="41">
        <f t="shared" si="1"/>
        <v>31</v>
      </c>
      <c r="B32" s="42" t="s">
        <v>148</v>
      </c>
      <c r="C32" s="42" t="s">
        <v>111</v>
      </c>
      <c r="D32" s="42" t="s">
        <v>204</v>
      </c>
      <c r="E32" s="42" t="s">
        <v>224</v>
      </c>
      <c r="F32" s="48">
        <f t="shared" si="0"/>
        <v>31</v>
      </c>
    </row>
    <row r="33" spans="1:21" ht="15" customHeight="1" x14ac:dyDescent="0.35">
      <c r="A33" s="41">
        <f t="shared" si="1"/>
        <v>32</v>
      </c>
      <c r="B33" s="42" t="s">
        <v>193</v>
      </c>
      <c r="C33" s="42" t="s">
        <v>111</v>
      </c>
      <c r="D33" s="42" t="s">
        <v>211</v>
      </c>
      <c r="E33" s="42" t="s">
        <v>224</v>
      </c>
      <c r="F33" s="48">
        <f t="shared" si="0"/>
        <v>32</v>
      </c>
    </row>
    <row r="34" spans="1:21" ht="15" customHeight="1" x14ac:dyDescent="0.35">
      <c r="A34" s="41">
        <f t="shared" si="1"/>
        <v>33</v>
      </c>
      <c r="B34" s="42" t="s">
        <v>182</v>
      </c>
      <c r="C34" s="42" t="s">
        <v>111</v>
      </c>
      <c r="D34" s="42" t="s">
        <v>210</v>
      </c>
      <c r="E34" s="42" t="s">
        <v>224</v>
      </c>
      <c r="F34" s="48">
        <f t="shared" ref="F34:F37" si="5">A34</f>
        <v>33</v>
      </c>
    </row>
    <row r="35" spans="1:21" ht="15" customHeight="1" x14ac:dyDescent="0.35">
      <c r="A35" s="41">
        <f t="shared" si="1"/>
        <v>34</v>
      </c>
      <c r="B35" s="42" t="s">
        <v>176</v>
      </c>
      <c r="C35" s="42" t="s">
        <v>112</v>
      </c>
      <c r="D35" s="42" t="s">
        <v>209</v>
      </c>
      <c r="E35" s="42" t="s">
        <v>224</v>
      </c>
      <c r="F35" s="48">
        <f t="shared" si="5"/>
        <v>34</v>
      </c>
    </row>
    <row r="36" spans="1:21" ht="15" customHeight="1" x14ac:dyDescent="0.35">
      <c r="A36" s="41">
        <f t="shared" si="1"/>
        <v>35</v>
      </c>
      <c r="B36" s="42" t="s">
        <v>184</v>
      </c>
      <c r="C36" s="42" t="s">
        <v>113</v>
      </c>
      <c r="D36" s="42" t="s">
        <v>210</v>
      </c>
      <c r="E36" s="42" t="s">
        <v>224</v>
      </c>
      <c r="F36" s="48">
        <f t="shared" si="5"/>
        <v>35</v>
      </c>
    </row>
    <row r="37" spans="1:21" ht="15" customHeight="1" x14ac:dyDescent="0.35">
      <c r="A37" s="41">
        <f t="shared" si="1"/>
        <v>36</v>
      </c>
      <c r="B37" s="42" t="s">
        <v>152</v>
      </c>
      <c r="C37" s="42" t="s">
        <v>114</v>
      </c>
      <c r="D37" s="42" t="s">
        <v>204</v>
      </c>
      <c r="E37" s="42" t="s">
        <v>224</v>
      </c>
      <c r="F37" s="48">
        <f t="shared" si="5"/>
        <v>36</v>
      </c>
    </row>
    <row r="38" spans="1:21" ht="15" customHeight="1" x14ac:dyDescent="0.35">
      <c r="A38" s="41">
        <f t="shared" si="1"/>
        <v>37</v>
      </c>
      <c r="B38" s="42" t="s">
        <v>153</v>
      </c>
      <c r="C38" s="42" t="s">
        <v>114</v>
      </c>
      <c r="D38" s="42" t="s">
        <v>204</v>
      </c>
      <c r="E38" s="42" t="s">
        <v>224</v>
      </c>
      <c r="F38" s="48">
        <f t="shared" ref="F38:F70" si="6">A38</f>
        <v>37</v>
      </c>
    </row>
    <row r="39" spans="1:21" ht="15" customHeight="1" x14ac:dyDescent="0.35">
      <c r="A39" s="41">
        <f t="shared" si="1"/>
        <v>38</v>
      </c>
      <c r="B39" s="42" t="s">
        <v>187</v>
      </c>
      <c r="C39" s="42" t="s">
        <v>114</v>
      </c>
      <c r="D39" s="42" t="s">
        <v>210</v>
      </c>
      <c r="E39" s="42" t="s">
        <v>224</v>
      </c>
      <c r="F39" s="48">
        <f t="shared" si="6"/>
        <v>38</v>
      </c>
    </row>
    <row r="40" spans="1:21" ht="15" customHeight="1" x14ac:dyDescent="0.35">
      <c r="A40" s="41">
        <f t="shared" si="1"/>
        <v>39</v>
      </c>
      <c r="B40" s="42" t="s">
        <v>160</v>
      </c>
      <c r="C40" s="42" t="s">
        <v>115</v>
      </c>
      <c r="D40" s="42" t="s">
        <v>204</v>
      </c>
      <c r="E40" s="42" t="s">
        <v>224</v>
      </c>
      <c r="F40" s="48">
        <f t="shared" si="6"/>
        <v>39</v>
      </c>
    </row>
    <row r="41" spans="1:21" ht="15" customHeight="1" x14ac:dyDescent="0.35">
      <c r="A41" s="41">
        <f t="shared" si="1"/>
        <v>40</v>
      </c>
      <c r="B41" s="42" t="s">
        <v>197</v>
      </c>
      <c r="C41" s="42" t="s">
        <v>115</v>
      </c>
      <c r="D41" s="42" t="s">
        <v>211</v>
      </c>
      <c r="E41" s="42" t="s">
        <v>224</v>
      </c>
      <c r="F41" s="48">
        <f t="shared" si="6"/>
        <v>40</v>
      </c>
    </row>
    <row r="42" spans="1:21" ht="15" customHeight="1" x14ac:dyDescent="0.35">
      <c r="A42" s="41">
        <f t="shared" si="1"/>
        <v>41</v>
      </c>
      <c r="B42" s="42" t="s">
        <v>170</v>
      </c>
      <c r="C42" s="42" t="s">
        <v>115</v>
      </c>
      <c r="D42" s="42" t="s">
        <v>208</v>
      </c>
      <c r="E42" s="42" t="s">
        <v>224</v>
      </c>
      <c r="F42" s="48">
        <f t="shared" si="6"/>
        <v>41</v>
      </c>
      <c r="U42" s="41" t="s">
        <v>234</v>
      </c>
    </row>
    <row r="43" spans="1:21" ht="15" customHeight="1" x14ac:dyDescent="0.35">
      <c r="A43" s="41">
        <f t="shared" si="1"/>
        <v>42</v>
      </c>
      <c r="B43" s="42" t="s">
        <v>242</v>
      </c>
      <c r="C43" s="42" t="s">
        <v>115</v>
      </c>
      <c r="D43" s="42" t="s">
        <v>209</v>
      </c>
      <c r="E43" s="42" t="s">
        <v>224</v>
      </c>
      <c r="F43" s="48">
        <f t="shared" si="6"/>
        <v>42</v>
      </c>
      <c r="U43" s="41" t="s">
        <v>236</v>
      </c>
    </row>
    <row r="44" spans="1:21" ht="15" customHeight="1" x14ac:dyDescent="0.35">
      <c r="A44" s="41">
        <f t="shared" si="1"/>
        <v>43</v>
      </c>
      <c r="B44" s="53" t="s">
        <v>189</v>
      </c>
      <c r="C44" s="42" t="s">
        <v>115</v>
      </c>
      <c r="D44" s="42" t="s">
        <v>210</v>
      </c>
      <c r="E44" s="42" t="s">
        <v>224</v>
      </c>
      <c r="F44" s="48">
        <f t="shared" si="6"/>
        <v>43</v>
      </c>
      <c r="U44" s="41" t="s">
        <v>236</v>
      </c>
    </row>
    <row r="45" spans="1:21" ht="15" customHeight="1" x14ac:dyDescent="0.35">
      <c r="A45" s="41">
        <f t="shared" si="1"/>
        <v>44</v>
      </c>
      <c r="B45" s="42" t="s">
        <v>159</v>
      </c>
      <c r="C45" s="42" t="s">
        <v>115</v>
      </c>
      <c r="D45" s="42" t="s">
        <v>204</v>
      </c>
      <c r="E45" s="42" t="s">
        <v>224</v>
      </c>
      <c r="F45" s="48">
        <f t="shared" si="6"/>
        <v>44</v>
      </c>
      <c r="U45" s="41" t="s">
        <v>229</v>
      </c>
    </row>
    <row r="46" spans="1:21" ht="15" customHeight="1" x14ac:dyDescent="0.35">
      <c r="A46" s="41">
        <f t="shared" si="1"/>
        <v>45</v>
      </c>
      <c r="B46" s="53" t="s">
        <v>199</v>
      </c>
      <c r="C46" s="53" t="s">
        <v>104</v>
      </c>
      <c r="D46" s="53" t="s">
        <v>207</v>
      </c>
      <c r="E46" s="42" t="s">
        <v>224</v>
      </c>
      <c r="F46" s="48">
        <f t="shared" si="6"/>
        <v>45</v>
      </c>
      <c r="U46" s="41" t="s">
        <v>226</v>
      </c>
    </row>
    <row r="47" spans="1:21" ht="15" customHeight="1" x14ac:dyDescent="0.35">
      <c r="A47" s="41">
        <f t="shared" si="1"/>
        <v>46</v>
      </c>
      <c r="B47" s="42" t="s">
        <v>200</v>
      </c>
      <c r="C47" s="42" t="s">
        <v>115</v>
      </c>
      <c r="D47" s="42" t="s">
        <v>207</v>
      </c>
      <c r="E47" s="53" t="s">
        <v>228</v>
      </c>
      <c r="F47" s="48">
        <f t="shared" si="6"/>
        <v>46</v>
      </c>
      <c r="U47" s="41" t="s">
        <v>229</v>
      </c>
    </row>
    <row r="48" spans="1:21" s="56" customFormat="1" ht="15" customHeight="1" x14ac:dyDescent="0.35">
      <c r="A48" s="41">
        <f t="shared" si="1"/>
        <v>47</v>
      </c>
      <c r="B48" s="42" t="s">
        <v>163</v>
      </c>
      <c r="C48" s="53" t="s">
        <v>105</v>
      </c>
      <c r="D48" s="42" t="s">
        <v>206</v>
      </c>
      <c r="E48" s="42" t="s">
        <v>228</v>
      </c>
      <c r="F48" s="48">
        <f t="shared" si="6"/>
        <v>47</v>
      </c>
      <c r="G48" s="42"/>
      <c r="H48" s="42"/>
      <c r="I48" s="43"/>
      <c r="J48" s="55"/>
      <c r="K48" s="55"/>
      <c r="L48" s="55"/>
      <c r="M48" s="55"/>
      <c r="N48" s="55"/>
      <c r="O48" s="55"/>
      <c r="P48" s="55"/>
      <c r="U48" s="56" t="s">
        <v>226</v>
      </c>
    </row>
    <row r="49" spans="1:21" ht="15" customHeight="1" x14ac:dyDescent="0.35">
      <c r="A49" s="41">
        <f t="shared" si="1"/>
        <v>48</v>
      </c>
      <c r="B49" s="42" t="s">
        <v>162</v>
      </c>
      <c r="C49" s="53" t="s">
        <v>107</v>
      </c>
      <c r="D49" s="42" t="s">
        <v>206</v>
      </c>
      <c r="E49" s="42" t="s">
        <v>228</v>
      </c>
      <c r="F49" s="48">
        <f t="shared" si="6"/>
        <v>48</v>
      </c>
      <c r="U49" s="41" t="s">
        <v>241</v>
      </c>
    </row>
    <row r="50" spans="1:21" ht="15" customHeight="1" x14ac:dyDescent="0.35">
      <c r="A50" s="41">
        <f t="shared" si="1"/>
        <v>49</v>
      </c>
      <c r="B50" s="42" t="s">
        <v>168</v>
      </c>
      <c r="C50" s="53" t="s">
        <v>104</v>
      </c>
      <c r="D50" s="42" t="s">
        <v>208</v>
      </c>
      <c r="E50" s="42" t="s">
        <v>228</v>
      </c>
      <c r="F50" s="48">
        <f t="shared" si="6"/>
        <v>49</v>
      </c>
      <c r="U50" s="41" t="s">
        <v>236</v>
      </c>
    </row>
    <row r="51" spans="1:21" ht="15" customHeight="1" x14ac:dyDescent="0.35">
      <c r="A51" s="41">
        <f t="shared" si="1"/>
        <v>50</v>
      </c>
      <c r="B51" s="42" t="s">
        <v>161</v>
      </c>
      <c r="C51" s="53" t="s">
        <v>116</v>
      </c>
      <c r="D51" s="42" t="s">
        <v>204</v>
      </c>
      <c r="E51" s="42" t="s">
        <v>224</v>
      </c>
      <c r="F51" s="48">
        <f t="shared" si="6"/>
        <v>50</v>
      </c>
      <c r="U51" s="41" t="s">
        <v>234</v>
      </c>
    </row>
    <row r="52" spans="1:21" ht="15" customHeight="1" x14ac:dyDescent="0.35">
      <c r="A52" s="41">
        <f t="shared" si="1"/>
        <v>51</v>
      </c>
      <c r="B52" s="42" t="s">
        <v>171</v>
      </c>
      <c r="C52" s="42" t="s">
        <v>116</v>
      </c>
      <c r="D52" s="42" t="s">
        <v>208</v>
      </c>
      <c r="E52" s="42" t="s">
        <v>224</v>
      </c>
      <c r="F52" s="48">
        <f t="shared" si="6"/>
        <v>51</v>
      </c>
      <c r="U52" s="41" t="s">
        <v>229</v>
      </c>
    </row>
    <row r="53" spans="1:21" ht="15" customHeight="1" x14ac:dyDescent="0.35">
      <c r="A53" s="41">
        <f t="shared" si="1"/>
        <v>52</v>
      </c>
      <c r="B53" s="42" t="s">
        <v>190</v>
      </c>
      <c r="C53" s="53" t="s">
        <v>107</v>
      </c>
      <c r="D53" s="42" t="s">
        <v>211</v>
      </c>
      <c r="E53" s="42" t="s">
        <v>224</v>
      </c>
      <c r="F53" s="48">
        <f t="shared" si="6"/>
        <v>52</v>
      </c>
      <c r="U53" s="41" t="s">
        <v>226</v>
      </c>
    </row>
    <row r="54" spans="1:21" ht="15" customHeight="1" x14ac:dyDescent="0.35">
      <c r="A54" s="41">
        <f t="shared" si="1"/>
        <v>53</v>
      </c>
      <c r="B54" s="42" t="s">
        <v>196</v>
      </c>
      <c r="C54" s="42" t="s">
        <v>109</v>
      </c>
      <c r="D54" s="42" t="s">
        <v>211</v>
      </c>
      <c r="E54" s="42" t="s">
        <v>224</v>
      </c>
      <c r="F54" s="48">
        <f t="shared" si="6"/>
        <v>53</v>
      </c>
      <c r="H54" s="53"/>
      <c r="U54" s="41" t="s">
        <v>236</v>
      </c>
    </row>
    <row r="55" spans="1:21" ht="15" customHeight="1" x14ac:dyDescent="0.35">
      <c r="A55" s="41">
        <f t="shared" si="1"/>
        <v>54</v>
      </c>
      <c r="B55" s="42" t="s">
        <v>195</v>
      </c>
      <c r="C55" s="42" t="s">
        <v>119</v>
      </c>
      <c r="D55" s="42" t="s">
        <v>211</v>
      </c>
      <c r="E55" s="42" t="s">
        <v>224</v>
      </c>
      <c r="F55" s="48">
        <f t="shared" si="6"/>
        <v>54</v>
      </c>
      <c r="U55" s="41" t="s">
        <v>226</v>
      </c>
    </row>
    <row r="56" spans="1:21" ht="15" customHeight="1" x14ac:dyDescent="0.35">
      <c r="A56" s="41">
        <f t="shared" si="1"/>
        <v>55</v>
      </c>
      <c r="B56" s="42" t="s">
        <v>214</v>
      </c>
      <c r="C56" s="42" t="s">
        <v>118</v>
      </c>
      <c r="D56" s="42" t="s">
        <v>204</v>
      </c>
      <c r="E56" s="42" t="s">
        <v>224</v>
      </c>
      <c r="F56" s="48">
        <f t="shared" si="6"/>
        <v>55</v>
      </c>
      <c r="U56" s="41" t="s">
        <v>236</v>
      </c>
    </row>
    <row r="57" spans="1:21" ht="15" customHeight="1" x14ac:dyDescent="0.35">
      <c r="A57" s="41">
        <f t="shared" si="1"/>
        <v>56</v>
      </c>
      <c r="B57" s="42" t="s">
        <v>175</v>
      </c>
      <c r="C57" s="42" t="s">
        <v>117</v>
      </c>
      <c r="D57" s="42" t="s">
        <v>209</v>
      </c>
      <c r="E57" s="42" t="s">
        <v>224</v>
      </c>
      <c r="F57" s="48">
        <f t="shared" si="6"/>
        <v>56</v>
      </c>
      <c r="U57" s="41" t="s">
        <v>241</v>
      </c>
    </row>
    <row r="58" spans="1:21" ht="15" customHeight="1" x14ac:dyDescent="0.35">
      <c r="A58" s="41">
        <f t="shared" si="1"/>
        <v>57</v>
      </c>
      <c r="B58" s="42" t="s">
        <v>147</v>
      </c>
      <c r="C58" s="42" t="s">
        <v>107</v>
      </c>
      <c r="D58" s="42" t="s">
        <v>204</v>
      </c>
      <c r="E58" s="42" t="s">
        <v>224</v>
      </c>
      <c r="F58" s="48">
        <f t="shared" si="6"/>
        <v>57</v>
      </c>
      <c r="U58" s="41" t="s">
        <v>241</v>
      </c>
    </row>
    <row r="59" spans="1:21" ht="15" customHeight="1" x14ac:dyDescent="0.35">
      <c r="A59" s="41">
        <f t="shared" si="1"/>
        <v>58</v>
      </c>
      <c r="B59" s="42" t="s">
        <v>167</v>
      </c>
      <c r="C59" s="42" t="s">
        <v>119</v>
      </c>
      <c r="D59" s="42" t="s">
        <v>208</v>
      </c>
      <c r="E59" s="42" t="s">
        <v>224</v>
      </c>
      <c r="F59" s="48">
        <f t="shared" si="6"/>
        <v>58</v>
      </c>
      <c r="U59" s="41" t="s">
        <v>241</v>
      </c>
    </row>
    <row r="60" spans="1:21" ht="15" customHeight="1" x14ac:dyDescent="0.35">
      <c r="A60" s="41">
        <f t="shared" si="1"/>
        <v>59</v>
      </c>
      <c r="B60" s="42" t="s">
        <v>243</v>
      </c>
      <c r="C60" s="42" t="s">
        <v>119</v>
      </c>
      <c r="D60" s="42" t="s">
        <v>211</v>
      </c>
      <c r="E60" s="42" t="s">
        <v>224</v>
      </c>
      <c r="F60" s="48">
        <f t="shared" si="6"/>
        <v>59</v>
      </c>
      <c r="U60" s="41" t="s">
        <v>226</v>
      </c>
    </row>
    <row r="61" spans="1:21" ht="15" customHeight="1" x14ac:dyDescent="0.35">
      <c r="A61" s="41">
        <f t="shared" si="1"/>
        <v>60</v>
      </c>
      <c r="B61" s="42" t="s">
        <v>149</v>
      </c>
      <c r="C61" s="42" t="s">
        <v>119</v>
      </c>
      <c r="D61" s="42" t="s">
        <v>204</v>
      </c>
      <c r="E61" s="42" t="s">
        <v>224</v>
      </c>
      <c r="F61" s="48">
        <f t="shared" si="6"/>
        <v>60</v>
      </c>
      <c r="U61" s="41" t="s">
        <v>234</v>
      </c>
    </row>
    <row r="62" spans="1:21" ht="15" customHeight="1" x14ac:dyDescent="0.35">
      <c r="A62" s="41">
        <f t="shared" si="1"/>
        <v>61</v>
      </c>
      <c r="B62" s="42" t="s">
        <v>151</v>
      </c>
      <c r="C62" s="42" t="s">
        <v>120</v>
      </c>
      <c r="D62" s="42" t="s">
        <v>204</v>
      </c>
      <c r="E62" s="42" t="s">
        <v>224</v>
      </c>
      <c r="F62" s="48">
        <f t="shared" si="6"/>
        <v>61</v>
      </c>
      <c r="U62" s="41" t="s">
        <v>226</v>
      </c>
    </row>
    <row r="63" spans="1:21" ht="15" customHeight="1" x14ac:dyDescent="0.35">
      <c r="A63" s="41">
        <f t="shared" si="1"/>
        <v>62</v>
      </c>
      <c r="B63" s="42" t="s">
        <v>172</v>
      </c>
      <c r="C63" s="42" t="s">
        <v>120</v>
      </c>
      <c r="D63" s="42" t="s">
        <v>209</v>
      </c>
      <c r="E63" s="42" t="s">
        <v>224</v>
      </c>
      <c r="F63" s="48">
        <f t="shared" si="6"/>
        <v>62</v>
      </c>
      <c r="U63" s="41" t="s">
        <v>236</v>
      </c>
    </row>
    <row r="64" spans="1:21" ht="15" customHeight="1" x14ac:dyDescent="0.35">
      <c r="A64" s="41">
        <f t="shared" si="1"/>
        <v>63</v>
      </c>
      <c r="F64" s="48">
        <f t="shared" si="6"/>
        <v>63</v>
      </c>
      <c r="U64" s="41" t="s">
        <v>241</v>
      </c>
    </row>
    <row r="65" spans="1:21" ht="15" customHeight="1" x14ac:dyDescent="0.35">
      <c r="A65" s="41">
        <f t="shared" si="1"/>
        <v>64</v>
      </c>
      <c r="F65" s="48">
        <f t="shared" si="6"/>
        <v>64</v>
      </c>
      <c r="U65" s="41" t="s">
        <v>226</v>
      </c>
    </row>
    <row r="66" spans="1:21" ht="15" customHeight="1" x14ac:dyDescent="0.35">
      <c r="A66" s="41">
        <f t="shared" si="1"/>
        <v>65</v>
      </c>
      <c r="F66" s="48">
        <f t="shared" si="6"/>
        <v>65</v>
      </c>
      <c r="U66" s="41" t="s">
        <v>226</v>
      </c>
    </row>
    <row r="67" spans="1:21" ht="15" customHeight="1" x14ac:dyDescent="0.35">
      <c r="A67" s="41">
        <f t="shared" si="1"/>
        <v>66</v>
      </c>
      <c r="F67" s="48">
        <f t="shared" si="6"/>
        <v>66</v>
      </c>
      <c r="U67" s="41" t="s">
        <v>234</v>
      </c>
    </row>
    <row r="68" spans="1:21" x14ac:dyDescent="0.35">
      <c r="A68" s="41">
        <f t="shared" si="1"/>
        <v>67</v>
      </c>
      <c r="F68" s="48">
        <f t="shared" si="6"/>
        <v>67</v>
      </c>
    </row>
    <row r="69" spans="1:21" x14ac:dyDescent="0.35">
      <c r="A69" s="41">
        <f t="shared" si="1"/>
        <v>68</v>
      </c>
      <c r="F69" s="48">
        <f t="shared" si="6"/>
        <v>68</v>
      </c>
    </row>
    <row r="70" spans="1:21" x14ac:dyDescent="0.35">
      <c r="A70" s="41">
        <f t="shared" si="1"/>
        <v>69</v>
      </c>
      <c r="F70" s="48">
        <f t="shared" si="6"/>
        <v>69</v>
      </c>
    </row>
    <row r="71" spans="1:21" x14ac:dyDescent="0.35">
      <c r="A71" s="41">
        <f t="shared" si="1"/>
        <v>70</v>
      </c>
      <c r="F71" s="48"/>
    </row>
    <row r="74" spans="1:21" x14ac:dyDescent="0.35">
      <c r="B74" s="44"/>
      <c r="C74" s="44"/>
      <c r="D74" s="44"/>
      <c r="E74" s="44"/>
    </row>
    <row r="75" spans="1:21" x14ac:dyDescent="0.35">
      <c r="B75" s="44"/>
      <c r="C75" s="44"/>
      <c r="D75" s="44"/>
      <c r="E75" s="44"/>
    </row>
    <row r="83" spans="2:5" x14ac:dyDescent="0.35">
      <c r="B83" s="44"/>
      <c r="C83" s="44"/>
      <c r="D83" s="44"/>
      <c r="E83" s="44"/>
    </row>
  </sheetData>
  <sortState xmlns:xlrd2="http://schemas.microsoft.com/office/spreadsheetml/2017/richdata2" ref="B2:D71">
    <sortCondition ref="B2: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Force Rank</vt:lpstr>
      <vt:lpstr>Current Month By Brand</vt:lpstr>
      <vt:lpstr>WORKSHEET</vt:lpstr>
      <vt:lpstr>KEY</vt:lpstr>
      <vt:lpstr>'Current Month By Brand'!Print_Area</vt:lpstr>
    </vt:vector>
  </TitlesOfParts>
  <Manager/>
  <Company>Penske Automotive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Wiebe,Kala</dc:creator>
  <cp:keywords/>
  <dc:description/>
  <cp:lastModifiedBy>Gilbert,Preston</cp:lastModifiedBy>
  <cp:revision/>
  <dcterms:created xsi:type="dcterms:W3CDTF">2019-08-27T23:23:03Z</dcterms:created>
  <dcterms:modified xsi:type="dcterms:W3CDTF">2026-01-07T16:17:24Z</dcterms:modified>
  <cp:category/>
  <cp:contentStatus/>
</cp:coreProperties>
</file>